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8075" windowHeight="7170" activeTab="5"/>
  </bookViews>
  <sheets>
    <sheet name="DEC 2012" sheetId="8" r:id="rId1"/>
    <sheet name="TB @ 123112" sheetId="9" r:id="rId2"/>
    <sheet name="DEC 2011" sheetId="3" r:id="rId3"/>
    <sheet name="TB @ 123111" sheetId="2" r:id="rId4"/>
    <sheet name="DEC 2010" sheetId="10" r:id="rId5"/>
    <sheet name="TB @ 123110" sheetId="11" r:id="rId6"/>
  </sheets>
  <externalReferences>
    <externalReference r:id="rId7"/>
    <externalReference r:id="rId8"/>
  </externalReferences>
  <definedNames>
    <definedName name="_xlnm.Print_Area" localSheetId="4">'DEC 2010'!$A$1:$W$432</definedName>
    <definedName name="_xlnm.Print_Area" localSheetId="2">'DEC 2011'!$A$1:$W$418</definedName>
    <definedName name="_xlnm.Print_Area" localSheetId="0">'DEC 2012'!$A$1:$W$433</definedName>
    <definedName name="_xlnm.Print_Titles" localSheetId="4">'DEC 2010'!$1:$8</definedName>
    <definedName name="_xlnm.Print_Titles" localSheetId="2">'DEC 2011'!$1:$8</definedName>
    <definedName name="_xlnm.Print_Titles" localSheetId="0">'DEC 2012'!$1:$8</definedName>
  </definedNames>
  <calcPr calcId="125725"/>
</workbook>
</file>

<file path=xl/calcChain.xml><?xml version="1.0" encoding="utf-8"?>
<calcChain xmlns="http://schemas.openxmlformats.org/spreadsheetml/2006/main">
  <c r="S284" i="10"/>
  <c r="S285" s="1"/>
  <c r="C16" i="11"/>
  <c r="B16"/>
  <c r="R334" i="10"/>
  <c r="Q334"/>
  <c r="P334"/>
  <c r="O334"/>
  <c r="N334"/>
  <c r="L334"/>
  <c r="K334"/>
  <c r="J334"/>
  <c r="H334"/>
  <c r="G334"/>
  <c r="R330"/>
  <c r="Q330"/>
  <c r="P330"/>
  <c r="O330"/>
  <c r="N330"/>
  <c r="L330"/>
  <c r="K330"/>
  <c r="J330"/>
  <c r="H330"/>
  <c r="G330"/>
  <c r="S328"/>
  <c r="R328"/>
  <c r="Q328"/>
  <c r="P328"/>
  <c r="O328"/>
  <c r="N328"/>
  <c r="M328"/>
  <c r="U328" s="1"/>
  <c r="L328"/>
  <c r="K328"/>
  <c r="J328"/>
  <c r="H328"/>
  <c r="G328"/>
  <c r="I328" s="1"/>
  <c r="R327"/>
  <c r="Q327"/>
  <c r="P327"/>
  <c r="O327"/>
  <c r="L327"/>
  <c r="K327"/>
  <c r="J327"/>
  <c r="H327"/>
  <c r="G327"/>
  <c r="P325"/>
  <c r="O325"/>
  <c r="J325"/>
  <c r="H325"/>
  <c r="G325"/>
  <c r="E325"/>
  <c r="E329" s="1"/>
  <c r="H307"/>
  <c r="W333" s="1"/>
  <c r="G307"/>
  <c r="G308" s="1"/>
  <c r="I306"/>
  <c r="I305"/>
  <c r="R278"/>
  <c r="Q278"/>
  <c r="P278"/>
  <c r="O278"/>
  <c r="N278"/>
  <c r="M278"/>
  <c r="L278"/>
  <c r="K278"/>
  <c r="J278"/>
  <c r="I278"/>
  <c r="H278"/>
  <c r="G278"/>
  <c r="Z277"/>
  <c r="U277"/>
  <c r="W277" s="1"/>
  <c r="S277"/>
  <c r="S276"/>
  <c r="Z276" s="1"/>
  <c r="S275"/>
  <c r="V272"/>
  <c r="R272"/>
  <c r="Q272"/>
  <c r="P272"/>
  <c r="O272"/>
  <c r="L272"/>
  <c r="K272"/>
  <c r="J272"/>
  <c r="I272"/>
  <c r="H272"/>
  <c r="G272"/>
  <c r="M271"/>
  <c r="S271" s="1"/>
  <c r="U271" s="1"/>
  <c r="W271" s="1"/>
  <c r="S270"/>
  <c r="U270" s="1"/>
  <c r="W270" s="1"/>
  <c r="M270"/>
  <c r="M269"/>
  <c r="S269" s="1"/>
  <c r="U269" s="1"/>
  <c r="W269" s="1"/>
  <c r="M268"/>
  <c r="S267"/>
  <c r="N267"/>
  <c r="M267"/>
  <c r="M327" s="1"/>
  <c r="Q264"/>
  <c r="Q280" s="1"/>
  <c r="S263"/>
  <c r="R263"/>
  <c r="Q263"/>
  <c r="P263"/>
  <c r="O263"/>
  <c r="N263"/>
  <c r="M263"/>
  <c r="L263"/>
  <c r="K263"/>
  <c r="J263"/>
  <c r="H263"/>
  <c r="G263"/>
  <c r="M257"/>
  <c r="V254"/>
  <c r="R254"/>
  <c r="Q254"/>
  <c r="P254"/>
  <c r="O254"/>
  <c r="N254"/>
  <c r="L254"/>
  <c r="K254"/>
  <c r="J254"/>
  <c r="I254"/>
  <c r="H254"/>
  <c r="G254"/>
  <c r="M253"/>
  <c r="S253" s="1"/>
  <c r="U253" s="1"/>
  <c r="W253" s="1"/>
  <c r="S252"/>
  <c r="U252" s="1"/>
  <c r="W252" s="1"/>
  <c r="M252"/>
  <c r="M251"/>
  <c r="S251" s="1"/>
  <c r="U251" s="1"/>
  <c r="W251" s="1"/>
  <c r="M250"/>
  <c r="M334" s="1"/>
  <c r="M249"/>
  <c r="S245"/>
  <c r="R245"/>
  <c r="Q245"/>
  <c r="P245"/>
  <c r="O245"/>
  <c r="N245"/>
  <c r="M245"/>
  <c r="L245"/>
  <c r="K245"/>
  <c r="J245"/>
  <c r="I245"/>
  <c r="H245"/>
  <c r="G245"/>
  <c r="V240"/>
  <c r="R240"/>
  <c r="Q240"/>
  <c r="P240"/>
  <c r="O240"/>
  <c r="L240"/>
  <c r="K240"/>
  <c r="J240"/>
  <c r="I240"/>
  <c r="H240"/>
  <c r="G240"/>
  <c r="M239"/>
  <c r="S239" s="1"/>
  <c r="U239" s="1"/>
  <c r="W239" s="1"/>
  <c r="M238"/>
  <c r="S238" s="1"/>
  <c r="U238" s="1"/>
  <c r="W238" s="1"/>
  <c r="M237"/>
  <c r="S237" s="1"/>
  <c r="U237" s="1"/>
  <c r="W237" s="1"/>
  <c r="M236"/>
  <c r="S236" s="1"/>
  <c r="U236" s="1"/>
  <c r="W236" s="1"/>
  <c r="M235"/>
  <c r="S235" s="1"/>
  <c r="U235" s="1"/>
  <c r="W235" s="1"/>
  <c r="N234"/>
  <c r="M234"/>
  <c r="M233"/>
  <c r="S233" s="1"/>
  <c r="N232"/>
  <c r="M232"/>
  <c r="S232" s="1"/>
  <c r="U232" s="1"/>
  <c r="R229"/>
  <c r="Q229"/>
  <c r="P229"/>
  <c r="O229"/>
  <c r="L229"/>
  <c r="K229"/>
  <c r="I229"/>
  <c r="H229"/>
  <c r="G229"/>
  <c r="M228"/>
  <c r="S228" s="1"/>
  <c r="M227"/>
  <c r="S227" s="1"/>
  <c r="N226"/>
  <c r="N229" s="1"/>
  <c r="M226"/>
  <c r="S226" s="1"/>
  <c r="S225"/>
  <c r="U225" s="1"/>
  <c r="M225"/>
  <c r="M224"/>
  <c r="S223"/>
  <c r="Z223" s="1"/>
  <c r="M223"/>
  <c r="S221"/>
  <c r="Z221" s="1"/>
  <c r="M221"/>
  <c r="V218"/>
  <c r="R218"/>
  <c r="Q218"/>
  <c r="P218"/>
  <c r="O218"/>
  <c r="L218"/>
  <c r="K218"/>
  <c r="J218"/>
  <c r="I218"/>
  <c r="H218"/>
  <c r="G218"/>
  <c r="M217"/>
  <c r="S217" s="1"/>
  <c r="U217" s="1"/>
  <c r="W217" s="1"/>
  <c r="M216"/>
  <c r="S216" s="1"/>
  <c r="U216" s="1"/>
  <c r="W216" s="1"/>
  <c r="M215"/>
  <c r="S215" s="1"/>
  <c r="U215" s="1"/>
  <c r="W215" s="1"/>
  <c r="S214"/>
  <c r="U214" s="1"/>
  <c r="W214" s="1"/>
  <c r="M214"/>
  <c r="M213"/>
  <c r="S213" s="1"/>
  <c r="U213" s="1"/>
  <c r="W213" s="1"/>
  <c r="M212"/>
  <c r="S212" s="1"/>
  <c r="U212" s="1"/>
  <c r="W212" s="1"/>
  <c r="N211"/>
  <c r="M211"/>
  <c r="N210"/>
  <c r="S210" s="1"/>
  <c r="U210" s="1"/>
  <c r="W210" s="1"/>
  <c r="M210"/>
  <c r="N209"/>
  <c r="N329" s="1"/>
  <c r="M209"/>
  <c r="M329" s="1"/>
  <c r="N208"/>
  <c r="S208" s="1"/>
  <c r="U208" s="1"/>
  <c r="W208" s="1"/>
  <c r="M208"/>
  <c r="N207"/>
  <c r="N325" s="1"/>
  <c r="M207"/>
  <c r="C207"/>
  <c r="B207"/>
  <c r="R204"/>
  <c r="Q204"/>
  <c r="O204"/>
  <c r="L204"/>
  <c r="K204"/>
  <c r="J204"/>
  <c r="I204"/>
  <c r="H204"/>
  <c r="G204"/>
  <c r="N203"/>
  <c r="M203"/>
  <c r="N202"/>
  <c r="M202"/>
  <c r="M204" s="1"/>
  <c r="N201"/>
  <c r="M201"/>
  <c r="N200"/>
  <c r="M200"/>
  <c r="S200" s="1"/>
  <c r="Z200" s="1"/>
  <c r="M199"/>
  <c r="C199"/>
  <c r="B199"/>
  <c r="N199" s="1"/>
  <c r="P198"/>
  <c r="N198"/>
  <c r="M198"/>
  <c r="S198" s="1"/>
  <c r="U198" s="1"/>
  <c r="C198"/>
  <c r="B198"/>
  <c r="R195"/>
  <c r="Q195"/>
  <c r="P195"/>
  <c r="L195"/>
  <c r="K195"/>
  <c r="J195"/>
  <c r="I195"/>
  <c r="H195"/>
  <c r="G195"/>
  <c r="N194"/>
  <c r="M194"/>
  <c r="N193"/>
  <c r="M193"/>
  <c r="S193" s="1"/>
  <c r="U193" s="1"/>
  <c r="N192"/>
  <c r="M192"/>
  <c r="N191"/>
  <c r="M191"/>
  <c r="N190"/>
  <c r="M190"/>
  <c r="N189"/>
  <c r="M189"/>
  <c r="N188"/>
  <c r="M188"/>
  <c r="C188"/>
  <c r="B188"/>
  <c r="M187"/>
  <c r="C187"/>
  <c r="B187"/>
  <c r="N187" s="1"/>
  <c r="M186"/>
  <c r="C186"/>
  <c r="B186"/>
  <c r="N186" s="1"/>
  <c r="M185"/>
  <c r="C185"/>
  <c r="B185"/>
  <c r="N185" s="1"/>
  <c r="N184"/>
  <c r="M184"/>
  <c r="C184"/>
  <c r="B184"/>
  <c r="M183"/>
  <c r="C183"/>
  <c r="B183"/>
  <c r="N183" s="1"/>
  <c r="M182"/>
  <c r="C182"/>
  <c r="B182"/>
  <c r="N182" s="1"/>
  <c r="M181"/>
  <c r="C181"/>
  <c r="B181"/>
  <c r="N181" s="1"/>
  <c r="N180"/>
  <c r="M180"/>
  <c r="C180"/>
  <c r="B180"/>
  <c r="O179"/>
  <c r="O195" s="1"/>
  <c r="M179"/>
  <c r="C179"/>
  <c r="B179"/>
  <c r="N179" s="1"/>
  <c r="M178"/>
  <c r="C178"/>
  <c r="B178"/>
  <c r="N178" s="1"/>
  <c r="Q175"/>
  <c r="P175"/>
  <c r="O175"/>
  <c r="L175"/>
  <c r="K175"/>
  <c r="J175"/>
  <c r="I175"/>
  <c r="H175"/>
  <c r="N174"/>
  <c r="S174" s="1"/>
  <c r="M174"/>
  <c r="N173"/>
  <c r="M173"/>
  <c r="N172"/>
  <c r="S172" s="1"/>
  <c r="M172"/>
  <c r="R171"/>
  <c r="R175" s="1"/>
  <c r="N171"/>
  <c r="M171"/>
  <c r="S171" s="1"/>
  <c r="M170"/>
  <c r="M169"/>
  <c r="M168"/>
  <c r="M167"/>
  <c r="M166"/>
  <c r="M165"/>
  <c r="G164"/>
  <c r="M164" s="1"/>
  <c r="N163"/>
  <c r="M163"/>
  <c r="M162"/>
  <c r="N161"/>
  <c r="S161" s="1"/>
  <c r="M161"/>
  <c r="M160"/>
  <c r="M159"/>
  <c r="N158"/>
  <c r="M158"/>
  <c r="N157"/>
  <c r="M157"/>
  <c r="N156"/>
  <c r="M156"/>
  <c r="N155"/>
  <c r="M155"/>
  <c r="S155" s="1"/>
  <c r="U155" s="1"/>
  <c r="N154"/>
  <c r="M154"/>
  <c r="N153"/>
  <c r="M153"/>
  <c r="N152"/>
  <c r="M152"/>
  <c r="N151"/>
  <c r="S151" s="1"/>
  <c r="U151" s="1"/>
  <c r="M151"/>
  <c r="M150"/>
  <c r="M149"/>
  <c r="N148"/>
  <c r="M148"/>
  <c r="N147"/>
  <c r="M147"/>
  <c r="S147" s="1"/>
  <c r="U147" s="1"/>
  <c r="N146"/>
  <c r="M146"/>
  <c r="N145"/>
  <c r="M145"/>
  <c r="M144"/>
  <c r="B144"/>
  <c r="N143"/>
  <c r="M143"/>
  <c r="N142"/>
  <c r="M142"/>
  <c r="S142" s="1"/>
  <c r="U142" s="1"/>
  <c r="N141"/>
  <c r="M141"/>
  <c r="N140"/>
  <c r="M140"/>
  <c r="N139"/>
  <c r="M139"/>
  <c r="N138"/>
  <c r="M138"/>
  <c r="S138" s="1"/>
  <c r="U138" s="1"/>
  <c r="N137"/>
  <c r="M137"/>
  <c r="N136"/>
  <c r="M136"/>
  <c r="N135"/>
  <c r="M135"/>
  <c r="N134"/>
  <c r="S134" s="1"/>
  <c r="U134" s="1"/>
  <c r="M134"/>
  <c r="N133"/>
  <c r="M133"/>
  <c r="C133"/>
  <c r="B133"/>
  <c r="M132"/>
  <c r="C132"/>
  <c r="B132"/>
  <c r="N132" s="1"/>
  <c r="M131"/>
  <c r="C131"/>
  <c r="B131"/>
  <c r="N131" s="1"/>
  <c r="M130"/>
  <c r="C130"/>
  <c r="B130"/>
  <c r="N130" s="1"/>
  <c r="N129"/>
  <c r="M129"/>
  <c r="C129"/>
  <c r="B129"/>
  <c r="M128"/>
  <c r="C128"/>
  <c r="B128"/>
  <c r="N128" s="1"/>
  <c r="M127"/>
  <c r="C127"/>
  <c r="B127"/>
  <c r="N127" s="1"/>
  <c r="M126"/>
  <c r="C126"/>
  <c r="B126"/>
  <c r="N126" s="1"/>
  <c r="M125"/>
  <c r="C125"/>
  <c r="B125"/>
  <c r="M124"/>
  <c r="C124"/>
  <c r="B124"/>
  <c r="M123"/>
  <c r="C123"/>
  <c r="B123"/>
  <c r="M122"/>
  <c r="C122"/>
  <c r="B122"/>
  <c r="N121"/>
  <c r="M121"/>
  <c r="C121"/>
  <c r="B121"/>
  <c r="M120"/>
  <c r="C120"/>
  <c r="B120"/>
  <c r="M119"/>
  <c r="C119"/>
  <c r="B119"/>
  <c r="N119" s="1"/>
  <c r="M118"/>
  <c r="C118"/>
  <c r="B118"/>
  <c r="N118" s="1"/>
  <c r="M117"/>
  <c r="C117"/>
  <c r="B117"/>
  <c r="M116"/>
  <c r="C116"/>
  <c r="B116"/>
  <c r="N116" s="1"/>
  <c r="N115"/>
  <c r="M115"/>
  <c r="C115"/>
  <c r="B115"/>
  <c r="M114"/>
  <c r="C114"/>
  <c r="B114"/>
  <c r="M113"/>
  <c r="C113"/>
  <c r="B113"/>
  <c r="M112"/>
  <c r="C112"/>
  <c r="B112"/>
  <c r="M111"/>
  <c r="C111"/>
  <c r="B111"/>
  <c r="N111" s="1"/>
  <c r="M110"/>
  <c r="C110"/>
  <c r="B110"/>
  <c r="N109"/>
  <c r="M109"/>
  <c r="C109"/>
  <c r="B109"/>
  <c r="M108"/>
  <c r="C108"/>
  <c r="B108"/>
  <c r="M107"/>
  <c r="C107"/>
  <c r="B107"/>
  <c r="N107" s="1"/>
  <c r="M106"/>
  <c r="C106"/>
  <c r="B106"/>
  <c r="N105"/>
  <c r="M105"/>
  <c r="C105"/>
  <c r="B105"/>
  <c r="M104"/>
  <c r="C104"/>
  <c r="B104"/>
  <c r="N104" s="1"/>
  <c r="M103"/>
  <c r="C103"/>
  <c r="B103"/>
  <c r="M102"/>
  <c r="C102"/>
  <c r="B102"/>
  <c r="M101"/>
  <c r="C101"/>
  <c r="B101"/>
  <c r="M100"/>
  <c r="C100"/>
  <c r="B100"/>
  <c r="M99"/>
  <c r="C99"/>
  <c r="B99"/>
  <c r="N99" s="1"/>
  <c r="M98"/>
  <c r="C98"/>
  <c r="B98"/>
  <c r="M97"/>
  <c r="C97"/>
  <c r="B97"/>
  <c r="M96"/>
  <c r="C96"/>
  <c r="B96"/>
  <c r="N96" s="1"/>
  <c r="M95"/>
  <c r="C95"/>
  <c r="B95"/>
  <c r="M94"/>
  <c r="C94"/>
  <c r="B94"/>
  <c r="N94" s="1"/>
  <c r="M93"/>
  <c r="C93"/>
  <c r="B93"/>
  <c r="M92"/>
  <c r="C92"/>
  <c r="B92"/>
  <c r="M91"/>
  <c r="C91"/>
  <c r="B91"/>
  <c r="M90"/>
  <c r="C90"/>
  <c r="B90"/>
  <c r="M89"/>
  <c r="C89"/>
  <c r="B89"/>
  <c r="M88"/>
  <c r="C88"/>
  <c r="B88"/>
  <c r="M87"/>
  <c r="C87"/>
  <c r="B87"/>
  <c r="M86"/>
  <c r="C86"/>
  <c r="B86"/>
  <c r="N86" s="1"/>
  <c r="M85"/>
  <c r="C85"/>
  <c r="B85"/>
  <c r="M84"/>
  <c r="C84"/>
  <c r="B84"/>
  <c r="M83"/>
  <c r="C83"/>
  <c r="B83"/>
  <c r="M82"/>
  <c r="C82"/>
  <c r="B82"/>
  <c r="N81"/>
  <c r="M81"/>
  <c r="C81"/>
  <c r="B81"/>
  <c r="M80"/>
  <c r="C80"/>
  <c r="B80"/>
  <c r="M79"/>
  <c r="C79"/>
  <c r="B79"/>
  <c r="N79" s="1"/>
  <c r="M78"/>
  <c r="C78"/>
  <c r="B78"/>
  <c r="N77"/>
  <c r="M77"/>
  <c r="C77"/>
  <c r="B77"/>
  <c r="M76"/>
  <c r="C76"/>
  <c r="B76"/>
  <c r="N76" s="1"/>
  <c r="M75"/>
  <c r="C75"/>
  <c r="B75"/>
  <c r="N74"/>
  <c r="M74"/>
  <c r="C74"/>
  <c r="B74"/>
  <c r="N73"/>
  <c r="M73"/>
  <c r="C73"/>
  <c r="B73"/>
  <c r="M72"/>
  <c r="C72"/>
  <c r="B72"/>
  <c r="N72" s="1"/>
  <c r="M71"/>
  <c r="C71"/>
  <c r="B71"/>
  <c r="N70"/>
  <c r="M70"/>
  <c r="C70"/>
  <c r="B70"/>
  <c r="M69"/>
  <c r="C69"/>
  <c r="B69"/>
  <c r="M68"/>
  <c r="C68"/>
  <c r="B68"/>
  <c r="M67"/>
  <c r="C67"/>
  <c r="B67"/>
  <c r="N67" s="1"/>
  <c r="M66"/>
  <c r="C66"/>
  <c r="B66"/>
  <c r="N65"/>
  <c r="M65"/>
  <c r="C65"/>
  <c r="B65"/>
  <c r="M64"/>
  <c r="C64"/>
  <c r="B64"/>
  <c r="N63"/>
  <c r="M63"/>
  <c r="M62"/>
  <c r="C62"/>
  <c r="B62"/>
  <c r="N62" s="1"/>
  <c r="M61"/>
  <c r="C61"/>
  <c r="B61"/>
  <c r="M60"/>
  <c r="C60"/>
  <c r="B60"/>
  <c r="N60" s="1"/>
  <c r="M59"/>
  <c r="C59"/>
  <c r="B59"/>
  <c r="M58"/>
  <c r="C58"/>
  <c r="B58"/>
  <c r="M57"/>
  <c r="C57"/>
  <c r="B57"/>
  <c r="N57" s="1"/>
  <c r="N56"/>
  <c r="M56"/>
  <c r="C56"/>
  <c r="B56"/>
  <c r="N55"/>
  <c r="M55"/>
  <c r="C55"/>
  <c r="B55"/>
  <c r="M54"/>
  <c r="C54"/>
  <c r="B54"/>
  <c r="N54" s="1"/>
  <c r="M53"/>
  <c r="C53"/>
  <c r="B53"/>
  <c r="N52"/>
  <c r="M52"/>
  <c r="C52"/>
  <c r="B52"/>
  <c r="N51"/>
  <c r="M51"/>
  <c r="C51"/>
  <c r="B51"/>
  <c r="M50"/>
  <c r="C50"/>
  <c r="B50"/>
  <c r="M49"/>
  <c r="C49"/>
  <c r="B49"/>
  <c r="N49" s="1"/>
  <c r="N48"/>
  <c r="M48"/>
  <c r="C48"/>
  <c r="B48"/>
  <c r="N47"/>
  <c r="M47"/>
  <c r="C47"/>
  <c r="B47"/>
  <c r="M46"/>
  <c r="C46"/>
  <c r="B46"/>
  <c r="N46" s="1"/>
  <c r="M45"/>
  <c r="C45"/>
  <c r="B45"/>
  <c r="M44"/>
  <c r="C44"/>
  <c r="B44"/>
  <c r="M43"/>
  <c r="C43"/>
  <c r="B43"/>
  <c r="M42"/>
  <c r="C42"/>
  <c r="B42"/>
  <c r="N42" s="1"/>
  <c r="M41"/>
  <c r="C41"/>
  <c r="B41"/>
  <c r="N40"/>
  <c r="M40"/>
  <c r="C40"/>
  <c r="B40"/>
  <c r="N39"/>
  <c r="M39"/>
  <c r="C39"/>
  <c r="B39"/>
  <c r="M38"/>
  <c r="C38"/>
  <c r="B38"/>
  <c r="N38" s="1"/>
  <c r="M37"/>
  <c r="C37"/>
  <c r="B37"/>
  <c r="N37" s="1"/>
  <c r="M36"/>
  <c r="C36"/>
  <c r="B36"/>
  <c r="M35"/>
  <c r="C35"/>
  <c r="B35"/>
  <c r="N35" s="1"/>
  <c r="R32"/>
  <c r="Q32"/>
  <c r="P32"/>
  <c r="O32"/>
  <c r="L32"/>
  <c r="K32"/>
  <c r="J32"/>
  <c r="I32"/>
  <c r="H32"/>
  <c r="G32"/>
  <c r="N31"/>
  <c r="M31"/>
  <c r="N30"/>
  <c r="M30"/>
  <c r="N29"/>
  <c r="M29"/>
  <c r="N28"/>
  <c r="S28" s="1"/>
  <c r="Z28" s="1"/>
  <c r="M28"/>
  <c r="N27"/>
  <c r="M27"/>
  <c r="N26"/>
  <c r="M26"/>
  <c r="M25"/>
  <c r="N24"/>
  <c r="S24" s="1"/>
  <c r="U24" s="1"/>
  <c r="M24"/>
  <c r="N23"/>
  <c r="M23"/>
  <c r="M22"/>
  <c r="C22"/>
  <c r="B22"/>
  <c r="M21"/>
  <c r="C21"/>
  <c r="B21"/>
  <c r="N21" s="1"/>
  <c r="M20"/>
  <c r="C20"/>
  <c r="B20"/>
  <c r="N20" s="1"/>
  <c r="M19"/>
  <c r="C19"/>
  <c r="B19"/>
  <c r="N19" s="1"/>
  <c r="M18"/>
  <c r="C18"/>
  <c r="B18"/>
  <c r="N17"/>
  <c r="M17"/>
  <c r="C17"/>
  <c r="B17"/>
  <c r="M16"/>
  <c r="C16"/>
  <c r="B16"/>
  <c r="N16" s="1"/>
  <c r="M15"/>
  <c r="C15"/>
  <c r="B15"/>
  <c r="N14"/>
  <c r="M14"/>
  <c r="C14"/>
  <c r="B14"/>
  <c r="N13"/>
  <c r="M13"/>
  <c r="C13"/>
  <c r="B13"/>
  <c r="M12"/>
  <c r="C12"/>
  <c r="B12"/>
  <c r="N12" s="1"/>
  <c r="M11"/>
  <c r="C11"/>
  <c r="B11"/>
  <c r="U8"/>
  <c r="E5"/>
  <c r="N87" s="1"/>
  <c r="F287" i="8"/>
  <c r="F285"/>
  <c r="F286" s="1"/>
  <c r="F288" s="1"/>
  <c r="S285"/>
  <c r="S286" s="1"/>
  <c r="C14" i="9"/>
  <c r="B14"/>
  <c r="R335" i="8"/>
  <c r="Q335"/>
  <c r="P335"/>
  <c r="O335"/>
  <c r="N335"/>
  <c r="L335"/>
  <c r="K335"/>
  <c r="J335"/>
  <c r="H335"/>
  <c r="G335"/>
  <c r="R331"/>
  <c r="Q331"/>
  <c r="P331"/>
  <c r="O331"/>
  <c r="N331"/>
  <c r="L331"/>
  <c r="K331"/>
  <c r="J331"/>
  <c r="H331"/>
  <c r="G331"/>
  <c r="S329"/>
  <c r="R329"/>
  <c r="Q329"/>
  <c r="P329"/>
  <c r="O329"/>
  <c r="N329"/>
  <c r="M329"/>
  <c r="U329" s="1"/>
  <c r="L329"/>
  <c r="K329"/>
  <c r="J329"/>
  <c r="H329"/>
  <c r="G329"/>
  <c r="I329" s="1"/>
  <c r="R328"/>
  <c r="Q328"/>
  <c r="P328"/>
  <c r="O328"/>
  <c r="L328"/>
  <c r="K328"/>
  <c r="J328"/>
  <c r="H328"/>
  <c r="G328"/>
  <c r="H326"/>
  <c r="G326"/>
  <c r="E326"/>
  <c r="G309"/>
  <c r="I308"/>
  <c r="H308"/>
  <c r="W334" s="1"/>
  <c r="G308"/>
  <c r="E334" s="1"/>
  <c r="I307"/>
  <c r="I306"/>
  <c r="I309" s="1"/>
  <c r="K288"/>
  <c r="J288"/>
  <c r="H288"/>
  <c r="R287"/>
  <c r="R279"/>
  <c r="Q279"/>
  <c r="P279"/>
  <c r="O279"/>
  <c r="N279"/>
  <c r="M279"/>
  <c r="L279"/>
  <c r="K279"/>
  <c r="J279"/>
  <c r="I279"/>
  <c r="H279"/>
  <c r="G279"/>
  <c r="S278"/>
  <c r="U278" s="1"/>
  <c r="W278" s="1"/>
  <c r="S277"/>
  <c r="U277" s="1"/>
  <c r="W277" s="1"/>
  <c r="S276"/>
  <c r="U276" s="1"/>
  <c r="V273"/>
  <c r="R273"/>
  <c r="Q273"/>
  <c r="P273"/>
  <c r="O273"/>
  <c r="L273"/>
  <c r="K273"/>
  <c r="J273"/>
  <c r="I273"/>
  <c r="H273"/>
  <c r="G273"/>
  <c r="M272"/>
  <c r="S272" s="1"/>
  <c r="U272" s="1"/>
  <c r="W272" s="1"/>
  <c r="S271"/>
  <c r="U271" s="1"/>
  <c r="W271" s="1"/>
  <c r="M271"/>
  <c r="S270"/>
  <c r="Z270" s="1"/>
  <c r="M270"/>
  <c r="M269"/>
  <c r="M331" s="1"/>
  <c r="N268"/>
  <c r="N328" s="1"/>
  <c r="M268"/>
  <c r="S264"/>
  <c r="R264"/>
  <c r="Q264"/>
  <c r="Q265" s="1"/>
  <c r="Q281" s="1"/>
  <c r="P264"/>
  <c r="O264"/>
  <c r="N264"/>
  <c r="M264"/>
  <c r="L264"/>
  <c r="K264"/>
  <c r="J264"/>
  <c r="H264"/>
  <c r="G264"/>
  <c r="M258"/>
  <c r="S258" s="1"/>
  <c r="V255"/>
  <c r="R255"/>
  <c r="Q255"/>
  <c r="P255"/>
  <c r="O255"/>
  <c r="N255"/>
  <c r="L255"/>
  <c r="K255"/>
  <c r="J255"/>
  <c r="I255"/>
  <c r="H255"/>
  <c r="G255"/>
  <c r="M254"/>
  <c r="S254" s="1"/>
  <c r="U254" s="1"/>
  <c r="W254" s="1"/>
  <c r="M253"/>
  <c r="S253" s="1"/>
  <c r="U253" s="1"/>
  <c r="W253" s="1"/>
  <c r="S252"/>
  <c r="Z252" s="1"/>
  <c r="M252"/>
  <c r="S251"/>
  <c r="S335" s="1"/>
  <c r="M251"/>
  <c r="M335" s="1"/>
  <c r="S250"/>
  <c r="Z250" s="1"/>
  <c r="M250"/>
  <c r="S246"/>
  <c r="R246"/>
  <c r="Q246"/>
  <c r="P246"/>
  <c r="O246"/>
  <c r="N246"/>
  <c r="M246"/>
  <c r="L246"/>
  <c r="K246"/>
  <c r="J246"/>
  <c r="I246"/>
  <c r="H246"/>
  <c r="G246"/>
  <c r="V241"/>
  <c r="R241"/>
  <c r="Q241"/>
  <c r="P241"/>
  <c r="O241"/>
  <c r="L241"/>
  <c r="K241"/>
  <c r="J241"/>
  <c r="I241"/>
  <c r="G241"/>
  <c r="M240"/>
  <c r="S240" s="1"/>
  <c r="U240" s="1"/>
  <c r="W240" s="1"/>
  <c r="M239"/>
  <c r="S239" s="1"/>
  <c r="M238"/>
  <c r="S238" s="1"/>
  <c r="U238" s="1"/>
  <c r="W238" s="1"/>
  <c r="M237"/>
  <c r="S237" s="1"/>
  <c r="U237" s="1"/>
  <c r="W237" s="1"/>
  <c r="M236"/>
  <c r="S236" s="1"/>
  <c r="U236" s="1"/>
  <c r="W236" s="1"/>
  <c r="M235"/>
  <c r="S235" s="1"/>
  <c r="N234"/>
  <c r="S234" s="1"/>
  <c r="M234"/>
  <c r="H233"/>
  <c r="H241" s="1"/>
  <c r="N232"/>
  <c r="M232"/>
  <c r="R229"/>
  <c r="Q229"/>
  <c r="P229"/>
  <c r="O229"/>
  <c r="L229"/>
  <c r="K229"/>
  <c r="J229"/>
  <c r="I229"/>
  <c r="H229"/>
  <c r="G229"/>
  <c r="M228"/>
  <c r="S228" s="1"/>
  <c r="U228" s="1"/>
  <c r="M227"/>
  <c r="S227" s="1"/>
  <c r="N226"/>
  <c r="N229" s="1"/>
  <c r="M226"/>
  <c r="S225"/>
  <c r="U225" s="1"/>
  <c r="M225"/>
  <c r="M224"/>
  <c r="S224" s="1"/>
  <c r="M223"/>
  <c r="S223" s="1"/>
  <c r="Z223" s="1"/>
  <c r="M222"/>
  <c r="S222" s="1"/>
  <c r="S221"/>
  <c r="M221"/>
  <c r="V218"/>
  <c r="R218"/>
  <c r="Q218"/>
  <c r="P218"/>
  <c r="O218"/>
  <c r="L218"/>
  <c r="K218"/>
  <c r="I218"/>
  <c r="H218"/>
  <c r="G218"/>
  <c r="M217"/>
  <c r="S217" s="1"/>
  <c r="U217" s="1"/>
  <c r="W217" s="1"/>
  <c r="J216"/>
  <c r="M216" s="1"/>
  <c r="S216" s="1"/>
  <c r="U216" s="1"/>
  <c r="W216" s="1"/>
  <c r="M215"/>
  <c r="S215" s="1"/>
  <c r="U215" s="1"/>
  <c r="W215" s="1"/>
  <c r="M214"/>
  <c r="S214" s="1"/>
  <c r="U214" s="1"/>
  <c r="W214" s="1"/>
  <c r="M213"/>
  <c r="S213" s="1"/>
  <c r="U213" s="1"/>
  <c r="W213" s="1"/>
  <c r="M212"/>
  <c r="S212" s="1"/>
  <c r="N211"/>
  <c r="M211"/>
  <c r="N210"/>
  <c r="S210" s="1"/>
  <c r="M210"/>
  <c r="N209"/>
  <c r="M209"/>
  <c r="N208"/>
  <c r="S208" s="1"/>
  <c r="M208"/>
  <c r="N207"/>
  <c r="N218" s="1"/>
  <c r="J207"/>
  <c r="M207" s="1"/>
  <c r="C207"/>
  <c r="B207"/>
  <c r="R204"/>
  <c r="Q204"/>
  <c r="O204"/>
  <c r="L204"/>
  <c r="K204"/>
  <c r="J204"/>
  <c r="I204"/>
  <c r="H204"/>
  <c r="G204"/>
  <c r="N203"/>
  <c r="M203"/>
  <c r="S203" s="1"/>
  <c r="Z203" s="1"/>
  <c r="N202"/>
  <c r="M202"/>
  <c r="N201"/>
  <c r="M201"/>
  <c r="N200"/>
  <c r="S200" s="1"/>
  <c r="M200"/>
  <c r="M199"/>
  <c r="C199"/>
  <c r="B199"/>
  <c r="N199" s="1"/>
  <c r="S199" s="1"/>
  <c r="P198"/>
  <c r="P204" s="1"/>
  <c r="M198"/>
  <c r="M204" s="1"/>
  <c r="M205" s="1"/>
  <c r="C198"/>
  <c r="B198"/>
  <c r="N198" s="1"/>
  <c r="N204" s="1"/>
  <c r="R195"/>
  <c r="Q195"/>
  <c r="P195"/>
  <c r="L195"/>
  <c r="K195"/>
  <c r="J195"/>
  <c r="I195"/>
  <c r="H195"/>
  <c r="N194"/>
  <c r="M194"/>
  <c r="S194" s="1"/>
  <c r="N193"/>
  <c r="M193"/>
  <c r="S193" s="1"/>
  <c r="N192"/>
  <c r="M192"/>
  <c r="S192" s="1"/>
  <c r="N191"/>
  <c r="M191"/>
  <c r="S191" s="1"/>
  <c r="O190"/>
  <c r="N190"/>
  <c r="S190" s="1"/>
  <c r="M190"/>
  <c r="O189"/>
  <c r="N189"/>
  <c r="M189"/>
  <c r="O188"/>
  <c r="N188"/>
  <c r="S188" s="1"/>
  <c r="M188"/>
  <c r="B188"/>
  <c r="O187"/>
  <c r="M187"/>
  <c r="B187"/>
  <c r="N187" s="1"/>
  <c r="O186"/>
  <c r="M186"/>
  <c r="B186"/>
  <c r="N186" s="1"/>
  <c r="O185"/>
  <c r="G185"/>
  <c r="G195" s="1"/>
  <c r="B185"/>
  <c r="N185" s="1"/>
  <c r="O184"/>
  <c r="M184"/>
  <c r="B184"/>
  <c r="N184" s="1"/>
  <c r="O183"/>
  <c r="M183"/>
  <c r="B183"/>
  <c r="N183" s="1"/>
  <c r="M182"/>
  <c r="C182"/>
  <c r="O182" s="1"/>
  <c r="B182"/>
  <c r="N182" s="1"/>
  <c r="M181"/>
  <c r="C181"/>
  <c r="O181" s="1"/>
  <c r="B181"/>
  <c r="N181" s="1"/>
  <c r="O180"/>
  <c r="M180"/>
  <c r="B180"/>
  <c r="N180" s="1"/>
  <c r="O179"/>
  <c r="M179"/>
  <c r="B179"/>
  <c r="N179" s="1"/>
  <c r="S179" s="1"/>
  <c r="O178"/>
  <c r="M178"/>
  <c r="C178"/>
  <c r="B178"/>
  <c r="N178" s="1"/>
  <c r="Q175"/>
  <c r="P175"/>
  <c r="O175"/>
  <c r="L175"/>
  <c r="K175"/>
  <c r="I175"/>
  <c r="H175"/>
  <c r="G175"/>
  <c r="N174"/>
  <c r="M174"/>
  <c r="N173"/>
  <c r="M173"/>
  <c r="N172"/>
  <c r="M172"/>
  <c r="N171"/>
  <c r="M171"/>
  <c r="M170"/>
  <c r="M169"/>
  <c r="M168"/>
  <c r="M167"/>
  <c r="M166"/>
  <c r="M165"/>
  <c r="R164"/>
  <c r="R175" s="1"/>
  <c r="M164"/>
  <c r="N163"/>
  <c r="M163"/>
  <c r="M162"/>
  <c r="N161"/>
  <c r="M161"/>
  <c r="S161" s="1"/>
  <c r="M160"/>
  <c r="M159"/>
  <c r="N158"/>
  <c r="M158"/>
  <c r="N157"/>
  <c r="M157"/>
  <c r="N156"/>
  <c r="M156"/>
  <c r="N155"/>
  <c r="M155"/>
  <c r="N154"/>
  <c r="M154"/>
  <c r="S154" s="1"/>
  <c r="N153"/>
  <c r="M153"/>
  <c r="S153" s="1"/>
  <c r="N152"/>
  <c r="S152" s="1"/>
  <c r="M152"/>
  <c r="N151"/>
  <c r="M151"/>
  <c r="M150"/>
  <c r="M149"/>
  <c r="N148"/>
  <c r="S148" s="1"/>
  <c r="M148"/>
  <c r="N147"/>
  <c r="M147"/>
  <c r="N146"/>
  <c r="M146"/>
  <c r="N145"/>
  <c r="M145"/>
  <c r="S145" s="1"/>
  <c r="M144"/>
  <c r="B144"/>
  <c r="N143"/>
  <c r="S143" s="1"/>
  <c r="M143"/>
  <c r="N142"/>
  <c r="M142"/>
  <c r="N141"/>
  <c r="M141"/>
  <c r="N140"/>
  <c r="M140"/>
  <c r="S140" s="1"/>
  <c r="Z140" s="1"/>
  <c r="N139"/>
  <c r="S139" s="1"/>
  <c r="M139"/>
  <c r="N138"/>
  <c r="M138"/>
  <c r="S138" s="1"/>
  <c r="N137"/>
  <c r="M137"/>
  <c r="N136"/>
  <c r="M136"/>
  <c r="S136" s="1"/>
  <c r="Z136" s="1"/>
  <c r="N135"/>
  <c r="S135" s="1"/>
  <c r="M135"/>
  <c r="N134"/>
  <c r="M134"/>
  <c r="M133"/>
  <c r="C133"/>
  <c r="B133"/>
  <c r="N133" s="1"/>
  <c r="M132"/>
  <c r="C132"/>
  <c r="B132"/>
  <c r="N132" s="1"/>
  <c r="M131"/>
  <c r="C131"/>
  <c r="B131"/>
  <c r="N131" s="1"/>
  <c r="M130"/>
  <c r="C130"/>
  <c r="B130"/>
  <c r="N130" s="1"/>
  <c r="M129"/>
  <c r="C129"/>
  <c r="B129"/>
  <c r="N129" s="1"/>
  <c r="M128"/>
  <c r="C128"/>
  <c r="B128"/>
  <c r="N128" s="1"/>
  <c r="M127"/>
  <c r="C127"/>
  <c r="B127"/>
  <c r="N127" s="1"/>
  <c r="S127" s="1"/>
  <c r="M126"/>
  <c r="C126"/>
  <c r="B126"/>
  <c r="N126" s="1"/>
  <c r="M125"/>
  <c r="C125"/>
  <c r="B125"/>
  <c r="M124"/>
  <c r="C124"/>
  <c r="B124"/>
  <c r="M123"/>
  <c r="C123"/>
  <c r="B123"/>
  <c r="M122"/>
  <c r="C122"/>
  <c r="B122"/>
  <c r="N121"/>
  <c r="M121"/>
  <c r="C121"/>
  <c r="B121"/>
  <c r="M120"/>
  <c r="C120"/>
  <c r="B120"/>
  <c r="M119"/>
  <c r="C119"/>
  <c r="B119"/>
  <c r="N119" s="1"/>
  <c r="S119" s="1"/>
  <c r="M118"/>
  <c r="C118"/>
  <c r="B118"/>
  <c r="N118" s="1"/>
  <c r="M117"/>
  <c r="C117"/>
  <c r="B117"/>
  <c r="M116"/>
  <c r="C116"/>
  <c r="B116"/>
  <c r="N116" s="1"/>
  <c r="N115"/>
  <c r="M115"/>
  <c r="C115"/>
  <c r="B115"/>
  <c r="M114"/>
  <c r="C114"/>
  <c r="B114"/>
  <c r="M113"/>
  <c r="C113"/>
  <c r="B113"/>
  <c r="M112"/>
  <c r="C112"/>
  <c r="B112"/>
  <c r="M111"/>
  <c r="C111"/>
  <c r="B111"/>
  <c r="N111" s="1"/>
  <c r="M110"/>
  <c r="C110"/>
  <c r="B110"/>
  <c r="N109"/>
  <c r="S109" s="1"/>
  <c r="M109"/>
  <c r="C109"/>
  <c r="B109"/>
  <c r="M108"/>
  <c r="C108"/>
  <c r="B108"/>
  <c r="M107"/>
  <c r="C107"/>
  <c r="B107"/>
  <c r="N107" s="1"/>
  <c r="M106"/>
  <c r="C106"/>
  <c r="B106"/>
  <c r="M105"/>
  <c r="C105"/>
  <c r="B105"/>
  <c r="N105" s="1"/>
  <c r="S105" s="1"/>
  <c r="M104"/>
  <c r="C104"/>
  <c r="B104"/>
  <c r="N104" s="1"/>
  <c r="M103"/>
  <c r="C103"/>
  <c r="B103"/>
  <c r="M102"/>
  <c r="C102"/>
  <c r="B102"/>
  <c r="M101"/>
  <c r="C101"/>
  <c r="B101"/>
  <c r="M100"/>
  <c r="C100"/>
  <c r="B100"/>
  <c r="M99"/>
  <c r="C99"/>
  <c r="B99"/>
  <c r="N99" s="1"/>
  <c r="M98"/>
  <c r="C98"/>
  <c r="B98"/>
  <c r="M97"/>
  <c r="C97"/>
  <c r="B97"/>
  <c r="M96"/>
  <c r="C96"/>
  <c r="B96"/>
  <c r="N96" s="1"/>
  <c r="M95"/>
  <c r="C95"/>
  <c r="B95"/>
  <c r="M94"/>
  <c r="C94"/>
  <c r="B94"/>
  <c r="N94" s="1"/>
  <c r="M93"/>
  <c r="C93"/>
  <c r="B93"/>
  <c r="M92"/>
  <c r="C92"/>
  <c r="B92"/>
  <c r="M91"/>
  <c r="C91"/>
  <c r="B91"/>
  <c r="M90"/>
  <c r="C90"/>
  <c r="B90"/>
  <c r="M89"/>
  <c r="C89"/>
  <c r="B89"/>
  <c r="M88"/>
  <c r="C88"/>
  <c r="B88"/>
  <c r="M87"/>
  <c r="C87"/>
  <c r="B87"/>
  <c r="M86"/>
  <c r="C86"/>
  <c r="B86"/>
  <c r="N86" s="1"/>
  <c r="M85"/>
  <c r="C85"/>
  <c r="B85"/>
  <c r="M84"/>
  <c r="C84"/>
  <c r="B84"/>
  <c r="M83"/>
  <c r="C83"/>
  <c r="B83"/>
  <c r="M82"/>
  <c r="C82"/>
  <c r="B82"/>
  <c r="N81"/>
  <c r="S81" s="1"/>
  <c r="M81"/>
  <c r="C81"/>
  <c r="B81"/>
  <c r="M80"/>
  <c r="C80"/>
  <c r="B80"/>
  <c r="M79"/>
  <c r="C79"/>
  <c r="B79"/>
  <c r="N79" s="1"/>
  <c r="M78"/>
  <c r="C78"/>
  <c r="B78"/>
  <c r="M77"/>
  <c r="C77"/>
  <c r="B77"/>
  <c r="N77" s="1"/>
  <c r="S77" s="1"/>
  <c r="M76"/>
  <c r="C76"/>
  <c r="B76"/>
  <c r="N76" s="1"/>
  <c r="M75"/>
  <c r="C75"/>
  <c r="B75"/>
  <c r="M74"/>
  <c r="C74"/>
  <c r="B74"/>
  <c r="N74" s="1"/>
  <c r="M73"/>
  <c r="C73"/>
  <c r="B73"/>
  <c r="N73" s="1"/>
  <c r="S73" s="1"/>
  <c r="M72"/>
  <c r="C72"/>
  <c r="B72"/>
  <c r="N72" s="1"/>
  <c r="M71"/>
  <c r="C71"/>
  <c r="B71"/>
  <c r="M70"/>
  <c r="C70"/>
  <c r="B70"/>
  <c r="N70" s="1"/>
  <c r="M69"/>
  <c r="C69"/>
  <c r="B69"/>
  <c r="M68"/>
  <c r="C68"/>
  <c r="B68"/>
  <c r="M67"/>
  <c r="C67"/>
  <c r="B67"/>
  <c r="N67" s="1"/>
  <c r="M66"/>
  <c r="C66"/>
  <c r="B66"/>
  <c r="M65"/>
  <c r="C65"/>
  <c r="B65"/>
  <c r="N65" s="1"/>
  <c r="S65" s="1"/>
  <c r="M64"/>
  <c r="C64"/>
  <c r="B64"/>
  <c r="N63"/>
  <c r="M63"/>
  <c r="M62"/>
  <c r="C62"/>
  <c r="B62"/>
  <c r="N62" s="1"/>
  <c r="M61"/>
  <c r="C61"/>
  <c r="B61"/>
  <c r="M60"/>
  <c r="C60"/>
  <c r="B60"/>
  <c r="N60" s="1"/>
  <c r="M59"/>
  <c r="C59"/>
  <c r="B59"/>
  <c r="M58"/>
  <c r="C58"/>
  <c r="B58"/>
  <c r="M57"/>
  <c r="C57"/>
  <c r="B57"/>
  <c r="N57" s="1"/>
  <c r="M56"/>
  <c r="C56"/>
  <c r="B56"/>
  <c r="N56" s="1"/>
  <c r="N55"/>
  <c r="S55" s="1"/>
  <c r="M55"/>
  <c r="C55"/>
  <c r="B55"/>
  <c r="M54"/>
  <c r="S54" s="1"/>
  <c r="C54"/>
  <c r="B54"/>
  <c r="N54" s="1"/>
  <c r="M53"/>
  <c r="C53"/>
  <c r="B53"/>
  <c r="M52"/>
  <c r="C52"/>
  <c r="B52"/>
  <c r="N52" s="1"/>
  <c r="S52" s="1"/>
  <c r="M51"/>
  <c r="C51"/>
  <c r="B51"/>
  <c r="N51" s="1"/>
  <c r="S51" s="1"/>
  <c r="M50"/>
  <c r="C50"/>
  <c r="B50"/>
  <c r="N49"/>
  <c r="M49"/>
  <c r="C49"/>
  <c r="B49"/>
  <c r="M48"/>
  <c r="C48"/>
  <c r="B48"/>
  <c r="N48" s="1"/>
  <c r="M47"/>
  <c r="C47"/>
  <c r="B47"/>
  <c r="N47" s="1"/>
  <c r="S47" s="1"/>
  <c r="M46"/>
  <c r="C46"/>
  <c r="B46"/>
  <c r="N46" s="1"/>
  <c r="M45"/>
  <c r="C45"/>
  <c r="B45"/>
  <c r="M44"/>
  <c r="C44"/>
  <c r="B44"/>
  <c r="M43"/>
  <c r="C43"/>
  <c r="B43"/>
  <c r="M42"/>
  <c r="C42"/>
  <c r="B42"/>
  <c r="N42" s="1"/>
  <c r="M41"/>
  <c r="C41"/>
  <c r="B41"/>
  <c r="M40"/>
  <c r="C40"/>
  <c r="B40"/>
  <c r="N40" s="1"/>
  <c r="N39"/>
  <c r="S39" s="1"/>
  <c r="M39"/>
  <c r="C39"/>
  <c r="B39"/>
  <c r="M38"/>
  <c r="C38"/>
  <c r="B38"/>
  <c r="N38" s="1"/>
  <c r="J37"/>
  <c r="J175" s="1"/>
  <c r="C37"/>
  <c r="B37"/>
  <c r="N37" s="1"/>
  <c r="M36"/>
  <c r="C36"/>
  <c r="B36"/>
  <c r="M35"/>
  <c r="C35"/>
  <c r="B35"/>
  <c r="R32"/>
  <c r="Q32"/>
  <c r="P32"/>
  <c r="O32"/>
  <c r="L32"/>
  <c r="K32"/>
  <c r="J32"/>
  <c r="I32"/>
  <c r="H32"/>
  <c r="G32"/>
  <c r="N31"/>
  <c r="M31"/>
  <c r="N30"/>
  <c r="S30" s="1"/>
  <c r="M30"/>
  <c r="N29"/>
  <c r="M29"/>
  <c r="S29" s="1"/>
  <c r="Z29" s="1"/>
  <c r="N28"/>
  <c r="M28"/>
  <c r="N27"/>
  <c r="M27"/>
  <c r="S27" s="1"/>
  <c r="N26"/>
  <c r="S26" s="1"/>
  <c r="M26"/>
  <c r="M25"/>
  <c r="N24"/>
  <c r="M24"/>
  <c r="N23"/>
  <c r="M23"/>
  <c r="S23" s="1"/>
  <c r="M22"/>
  <c r="C22"/>
  <c r="B22"/>
  <c r="M21"/>
  <c r="C21"/>
  <c r="B21"/>
  <c r="N21" s="1"/>
  <c r="M20"/>
  <c r="C20"/>
  <c r="B20"/>
  <c r="N20" s="1"/>
  <c r="M19"/>
  <c r="C19"/>
  <c r="B19"/>
  <c r="N19" s="1"/>
  <c r="S19" s="1"/>
  <c r="M18"/>
  <c r="C18"/>
  <c r="B18"/>
  <c r="M17"/>
  <c r="C17"/>
  <c r="B17"/>
  <c r="N17" s="1"/>
  <c r="M16"/>
  <c r="C16"/>
  <c r="B16"/>
  <c r="N16" s="1"/>
  <c r="M15"/>
  <c r="C15"/>
  <c r="B15"/>
  <c r="M14"/>
  <c r="C14"/>
  <c r="B14"/>
  <c r="N14" s="1"/>
  <c r="S14" s="1"/>
  <c r="M13"/>
  <c r="C13"/>
  <c r="B13"/>
  <c r="N13" s="1"/>
  <c r="M12"/>
  <c r="C12"/>
  <c r="B12"/>
  <c r="N12" s="1"/>
  <c r="M11"/>
  <c r="C11"/>
  <c r="B11"/>
  <c r="U8"/>
  <c r="E5"/>
  <c r="N117" s="1"/>
  <c r="V228" i="10" l="1"/>
  <c r="U228"/>
  <c r="N11"/>
  <c r="M32"/>
  <c r="N71"/>
  <c r="S173"/>
  <c r="M325"/>
  <c r="S211"/>
  <c r="U211" s="1"/>
  <c r="W211" s="1"/>
  <c r="V221"/>
  <c r="U276"/>
  <c r="W276" s="1"/>
  <c r="K325"/>
  <c r="Q325"/>
  <c r="W329"/>
  <c r="J329" s="1"/>
  <c r="N50"/>
  <c r="N58"/>
  <c r="S58" s="1"/>
  <c r="Z58" s="1"/>
  <c r="N85"/>
  <c r="M218"/>
  <c r="U221"/>
  <c r="U223"/>
  <c r="Z251"/>
  <c r="N15"/>
  <c r="N41"/>
  <c r="N45"/>
  <c r="N53"/>
  <c r="S53" s="1"/>
  <c r="N68"/>
  <c r="N75"/>
  <c r="S156"/>
  <c r="U156" s="1"/>
  <c r="S158"/>
  <c r="U158" s="1"/>
  <c r="M195"/>
  <c r="Z212"/>
  <c r="M219"/>
  <c r="S326"/>
  <c r="S278"/>
  <c r="N61"/>
  <c r="S61" s="1"/>
  <c r="N64"/>
  <c r="M326"/>
  <c r="S234"/>
  <c r="U234" s="1"/>
  <c r="W234" s="1"/>
  <c r="L325"/>
  <c r="E326"/>
  <c r="W326"/>
  <c r="J326" s="1"/>
  <c r="S12"/>
  <c r="Z12" s="1"/>
  <c r="S38"/>
  <c r="S50"/>
  <c r="Z50" s="1"/>
  <c r="S72"/>
  <c r="Z72" s="1"/>
  <c r="S85"/>
  <c r="Z85" s="1"/>
  <c r="S20"/>
  <c r="Z20" s="1"/>
  <c r="S68"/>
  <c r="Z68" s="1"/>
  <c r="Z37"/>
  <c r="Z16"/>
  <c r="S16"/>
  <c r="Z42"/>
  <c r="S42"/>
  <c r="Z46"/>
  <c r="S46"/>
  <c r="Z54"/>
  <c r="S54"/>
  <c r="S64"/>
  <c r="S76"/>
  <c r="Z76" s="1"/>
  <c r="Z19"/>
  <c r="Z67"/>
  <c r="M291"/>
  <c r="M289"/>
  <c r="Z62"/>
  <c r="S62"/>
  <c r="H291"/>
  <c r="H260"/>
  <c r="H289"/>
  <c r="H244"/>
  <c r="H246" s="1"/>
  <c r="H256" s="1"/>
  <c r="H258" s="1"/>
  <c r="L291"/>
  <c r="L260"/>
  <c r="L289"/>
  <c r="L244"/>
  <c r="L246" s="1"/>
  <c r="L256" s="1"/>
  <c r="L258" s="1"/>
  <c r="P291"/>
  <c r="P289"/>
  <c r="Z126"/>
  <c r="S126"/>
  <c r="S132"/>
  <c r="U161"/>
  <c r="V161"/>
  <c r="V171"/>
  <c r="U171"/>
  <c r="W171" s="1"/>
  <c r="U172"/>
  <c r="V172"/>
  <c r="U174"/>
  <c r="V174"/>
  <c r="S183"/>
  <c r="Z183" s="1"/>
  <c r="S11"/>
  <c r="S15"/>
  <c r="S19"/>
  <c r="S29"/>
  <c r="M33"/>
  <c r="M175"/>
  <c r="S37"/>
  <c r="S41"/>
  <c r="S45"/>
  <c r="S49"/>
  <c r="Z49" s="1"/>
  <c r="S57"/>
  <c r="S63"/>
  <c r="S67"/>
  <c r="S71"/>
  <c r="S75"/>
  <c r="S86"/>
  <c r="Z86" s="1"/>
  <c r="S94"/>
  <c r="S96"/>
  <c r="S104"/>
  <c r="Z104" s="1"/>
  <c r="S116"/>
  <c r="Z116" s="1"/>
  <c r="S118"/>
  <c r="N122"/>
  <c r="N124"/>
  <c r="N125"/>
  <c r="Z278"/>
  <c r="G291"/>
  <c r="G289"/>
  <c r="K244"/>
  <c r="K246" s="1"/>
  <c r="K256" s="1"/>
  <c r="K258" s="1"/>
  <c r="K260"/>
  <c r="K291"/>
  <c r="K289"/>
  <c r="O244"/>
  <c r="O246" s="1"/>
  <c r="O256" s="1"/>
  <c r="O258" s="1"/>
  <c r="O260"/>
  <c r="O291"/>
  <c r="O289"/>
  <c r="V156"/>
  <c r="U227"/>
  <c r="V227"/>
  <c r="U233"/>
  <c r="W233" s="1"/>
  <c r="J222"/>
  <c r="E314"/>
  <c r="S14"/>
  <c r="Z14"/>
  <c r="V24"/>
  <c r="W24" s="1"/>
  <c r="N25"/>
  <c r="S26"/>
  <c r="V28"/>
  <c r="S30"/>
  <c r="Z30" s="1"/>
  <c r="S40"/>
  <c r="S48"/>
  <c r="S52"/>
  <c r="S56"/>
  <c r="S60"/>
  <c r="Z60" s="1"/>
  <c r="S70"/>
  <c r="Z70" s="1"/>
  <c r="S74"/>
  <c r="N80"/>
  <c r="N88"/>
  <c r="N169"/>
  <c r="N167"/>
  <c r="S167" s="1"/>
  <c r="N165"/>
  <c r="N149"/>
  <c r="N162"/>
  <c r="N160"/>
  <c r="N123"/>
  <c r="N170"/>
  <c r="N168"/>
  <c r="S168" s="1"/>
  <c r="N166"/>
  <c r="N164"/>
  <c r="S164" s="1"/>
  <c r="N159"/>
  <c r="S159" s="1"/>
  <c r="N150"/>
  <c r="J289"/>
  <c r="J291"/>
  <c r="R289"/>
  <c r="R291"/>
  <c r="R260"/>
  <c r="R244"/>
  <c r="R246" s="1"/>
  <c r="R256" s="1"/>
  <c r="R258" s="1"/>
  <c r="S79"/>
  <c r="Z79" s="1"/>
  <c r="S87"/>
  <c r="Z87" s="1"/>
  <c r="S105"/>
  <c r="Z105" s="1"/>
  <c r="S109"/>
  <c r="Z109" s="1"/>
  <c r="S121"/>
  <c r="Z121" s="1"/>
  <c r="S122"/>
  <c r="Z122" s="1"/>
  <c r="S128"/>
  <c r="Z128" s="1"/>
  <c r="S187"/>
  <c r="Z187" s="1"/>
  <c r="U240"/>
  <c r="W232"/>
  <c r="W240" s="1"/>
  <c r="S13"/>
  <c r="S17"/>
  <c r="N18"/>
  <c r="S21"/>
  <c r="Z21" s="1"/>
  <c r="N22"/>
  <c r="S23"/>
  <c r="S27"/>
  <c r="U28"/>
  <c r="W28" s="1"/>
  <c r="S31"/>
  <c r="S35"/>
  <c r="N36"/>
  <c r="S39"/>
  <c r="Z39" s="1"/>
  <c r="N44"/>
  <c r="S47"/>
  <c r="S51"/>
  <c r="S55"/>
  <c r="Z55" s="1"/>
  <c r="S65"/>
  <c r="Z65" s="1"/>
  <c r="N66"/>
  <c r="S73"/>
  <c r="Z73" s="1"/>
  <c r="S77"/>
  <c r="N78"/>
  <c r="S80"/>
  <c r="S81"/>
  <c r="N91"/>
  <c r="N93"/>
  <c r="N95"/>
  <c r="S95" s="1"/>
  <c r="Z95" s="1"/>
  <c r="N97"/>
  <c r="N101"/>
  <c r="N103"/>
  <c r="N113"/>
  <c r="N117"/>
  <c r="N144"/>
  <c r="S160"/>
  <c r="S165"/>
  <c r="S169"/>
  <c r="M196"/>
  <c r="M205"/>
  <c r="Z211"/>
  <c r="W228"/>
  <c r="I260"/>
  <c r="I291"/>
  <c r="I289"/>
  <c r="I244"/>
  <c r="Q289"/>
  <c r="Q244"/>
  <c r="Q246" s="1"/>
  <c r="Q256" s="1"/>
  <c r="Q258" s="1"/>
  <c r="Q291"/>
  <c r="V173"/>
  <c r="U173"/>
  <c r="W173" s="1"/>
  <c r="N195"/>
  <c r="Z178"/>
  <c r="S178"/>
  <c r="V226"/>
  <c r="U226"/>
  <c r="Z24"/>
  <c r="N43"/>
  <c r="N59"/>
  <c r="N69"/>
  <c r="N82"/>
  <c r="N83"/>
  <c r="N84"/>
  <c r="N89"/>
  <c r="N90"/>
  <c r="N92"/>
  <c r="N98"/>
  <c r="N100"/>
  <c r="N102"/>
  <c r="N106"/>
  <c r="Z107"/>
  <c r="N108"/>
  <c r="N110"/>
  <c r="N112"/>
  <c r="N114"/>
  <c r="N120"/>
  <c r="S162"/>
  <c r="U326"/>
  <c r="U327"/>
  <c r="I327"/>
  <c r="Z134"/>
  <c r="Z138"/>
  <c r="Z142"/>
  <c r="Z147"/>
  <c r="Z151"/>
  <c r="Z155"/>
  <c r="S181"/>
  <c r="S185"/>
  <c r="Z185" s="1"/>
  <c r="S191"/>
  <c r="V193"/>
  <c r="W193" s="1"/>
  <c r="V198"/>
  <c r="W198" s="1"/>
  <c r="V200"/>
  <c r="S202"/>
  <c r="Z202"/>
  <c r="Z208"/>
  <c r="Z210"/>
  <c r="M240"/>
  <c r="S250"/>
  <c r="S257"/>
  <c r="Z257" s="1"/>
  <c r="Z267"/>
  <c r="Z275"/>
  <c r="H308"/>
  <c r="W314" s="1"/>
  <c r="I334"/>
  <c r="U334"/>
  <c r="S91"/>
  <c r="Z91" s="1"/>
  <c r="S99"/>
  <c r="Z99" s="1"/>
  <c r="M314"/>
  <c r="S103"/>
  <c r="S107"/>
  <c r="S111"/>
  <c r="Z111" s="1"/>
  <c r="S115"/>
  <c r="S119"/>
  <c r="S123"/>
  <c r="S127"/>
  <c r="Z127" s="1"/>
  <c r="S131"/>
  <c r="S135"/>
  <c r="S139"/>
  <c r="S143"/>
  <c r="Z143" s="1"/>
  <c r="S144"/>
  <c r="S148"/>
  <c r="S152"/>
  <c r="Z152" s="1"/>
  <c r="S180"/>
  <c r="S184"/>
  <c r="S188"/>
  <c r="Z188" s="1"/>
  <c r="S192"/>
  <c r="S199"/>
  <c r="U200"/>
  <c r="S203"/>
  <c r="N204"/>
  <c r="S207"/>
  <c r="Z207" s="1"/>
  <c r="S209"/>
  <c r="N218"/>
  <c r="W221"/>
  <c r="V223"/>
  <c r="W223" s="1"/>
  <c r="S224"/>
  <c r="Z224" s="1"/>
  <c r="V225"/>
  <c r="W225" s="1"/>
  <c r="S249"/>
  <c r="Z249" s="1"/>
  <c r="Z250"/>
  <c r="M254"/>
  <c r="U275"/>
  <c r="S327"/>
  <c r="U267"/>
  <c r="W386"/>
  <c r="H333"/>
  <c r="J333"/>
  <c r="W336"/>
  <c r="W335"/>
  <c r="G333"/>
  <c r="S130"/>
  <c r="V134"/>
  <c r="W134" s="1"/>
  <c r="S136"/>
  <c r="Z136" s="1"/>
  <c r="V138"/>
  <c r="W138" s="1"/>
  <c r="S140"/>
  <c r="V142"/>
  <c r="W142" s="1"/>
  <c r="S145"/>
  <c r="Z145" s="1"/>
  <c r="V147"/>
  <c r="W147" s="1"/>
  <c r="S149"/>
  <c r="Z149" s="1"/>
  <c r="V151"/>
  <c r="W151" s="1"/>
  <c r="S153"/>
  <c r="Z153" s="1"/>
  <c r="V155"/>
  <c r="W155" s="1"/>
  <c r="S179"/>
  <c r="Z179" s="1"/>
  <c r="S189"/>
  <c r="Z189" s="1"/>
  <c r="Z193"/>
  <c r="Z198"/>
  <c r="Z209"/>
  <c r="Z233"/>
  <c r="S240"/>
  <c r="I325"/>
  <c r="U325"/>
  <c r="U329"/>
  <c r="Q290"/>
  <c r="N272"/>
  <c r="N327"/>
  <c r="M330"/>
  <c r="S268"/>
  <c r="Z268" s="1"/>
  <c r="E333"/>
  <c r="M333" s="1"/>
  <c r="I307"/>
  <c r="I308" s="1"/>
  <c r="R329"/>
  <c r="O329"/>
  <c r="K329"/>
  <c r="P329"/>
  <c r="L329"/>
  <c r="Q329"/>
  <c r="S129"/>
  <c r="S133"/>
  <c r="Z133" s="1"/>
  <c r="S137"/>
  <c r="S141"/>
  <c r="S146"/>
  <c r="Z146"/>
  <c r="S154"/>
  <c r="S157"/>
  <c r="S163"/>
  <c r="G175"/>
  <c r="M176" s="1"/>
  <c r="S182"/>
  <c r="S186"/>
  <c r="Z186" s="1"/>
  <c r="S190"/>
  <c r="Z190" s="1"/>
  <c r="S194"/>
  <c r="Z194" s="1"/>
  <c r="S201"/>
  <c r="Z201" s="1"/>
  <c r="P204"/>
  <c r="N333"/>
  <c r="Z232"/>
  <c r="Z235"/>
  <c r="N240"/>
  <c r="Z269"/>
  <c r="M272"/>
  <c r="H326"/>
  <c r="H329"/>
  <c r="E331"/>
  <c r="E332"/>
  <c r="E367"/>
  <c r="N367" s="1"/>
  <c r="W367"/>
  <c r="R325"/>
  <c r="G326"/>
  <c r="K326"/>
  <c r="O326"/>
  <c r="G329"/>
  <c r="W331"/>
  <c r="W332"/>
  <c r="N326"/>
  <c r="Z153" i="8"/>
  <c r="U153"/>
  <c r="Z224"/>
  <c r="V224"/>
  <c r="Z258"/>
  <c r="U258"/>
  <c r="V258"/>
  <c r="V259" s="1"/>
  <c r="Z145"/>
  <c r="U145"/>
  <c r="S24"/>
  <c r="S49"/>
  <c r="S63"/>
  <c r="N68"/>
  <c r="N78"/>
  <c r="S78" s="1"/>
  <c r="N84"/>
  <c r="N88"/>
  <c r="N92"/>
  <c r="N106"/>
  <c r="S106" s="1"/>
  <c r="S115"/>
  <c r="S121"/>
  <c r="Z121" s="1"/>
  <c r="S134"/>
  <c r="S141"/>
  <c r="S146"/>
  <c r="S151"/>
  <c r="S187"/>
  <c r="S189"/>
  <c r="S202"/>
  <c r="S209"/>
  <c r="S211"/>
  <c r="S226"/>
  <c r="S232"/>
  <c r="M273"/>
  <c r="S16"/>
  <c r="M32"/>
  <c r="S12"/>
  <c r="S28"/>
  <c r="S48"/>
  <c r="S57"/>
  <c r="S60"/>
  <c r="S74"/>
  <c r="N80"/>
  <c r="S99"/>
  <c r="N102"/>
  <c r="S102" s="1"/>
  <c r="N108"/>
  <c r="S111"/>
  <c r="N114"/>
  <c r="S114" s="1"/>
  <c r="S130"/>
  <c r="S132"/>
  <c r="S137"/>
  <c r="S163"/>
  <c r="S172"/>
  <c r="S174"/>
  <c r="M195"/>
  <c r="M196" s="1"/>
  <c r="S183"/>
  <c r="M185"/>
  <c r="N15"/>
  <c r="S15" s="1"/>
  <c r="N11"/>
  <c r="S20"/>
  <c r="S21"/>
  <c r="S31"/>
  <c r="N35"/>
  <c r="S40"/>
  <c r="S42"/>
  <c r="N44"/>
  <c r="S44" s="1"/>
  <c r="S46"/>
  <c r="V46" s="1"/>
  <c r="N50"/>
  <c r="S56"/>
  <c r="N64"/>
  <c r="S67"/>
  <c r="V67" s="1"/>
  <c r="S68"/>
  <c r="S70"/>
  <c r="S72"/>
  <c r="N82"/>
  <c r="S82" s="1"/>
  <c r="V82" s="1"/>
  <c r="S84"/>
  <c r="S86"/>
  <c r="S88"/>
  <c r="U88" s="1"/>
  <c r="N90"/>
  <c r="S90" s="1"/>
  <c r="V90" s="1"/>
  <c r="S92"/>
  <c r="S94"/>
  <c r="S96"/>
  <c r="U96" s="1"/>
  <c r="N98"/>
  <c r="S98" s="1"/>
  <c r="V98" s="1"/>
  <c r="N110"/>
  <c r="S110" s="1"/>
  <c r="V110" s="1"/>
  <c r="S118"/>
  <c r="S126"/>
  <c r="S128"/>
  <c r="S131"/>
  <c r="S142"/>
  <c r="S147"/>
  <c r="S155"/>
  <c r="S157"/>
  <c r="S171"/>
  <c r="S173"/>
  <c r="S201"/>
  <c r="M229"/>
  <c r="M230" s="1"/>
  <c r="M255"/>
  <c r="U251"/>
  <c r="W251" s="1"/>
  <c r="U252"/>
  <c r="W252" s="1"/>
  <c r="S268"/>
  <c r="S328" s="1"/>
  <c r="U270"/>
  <c r="W270" s="1"/>
  <c r="N58"/>
  <c r="N66"/>
  <c r="S66" s="1"/>
  <c r="V66" s="1"/>
  <c r="S79"/>
  <c r="V79" s="1"/>
  <c r="N100"/>
  <c r="S107"/>
  <c r="U107" s="1"/>
  <c r="N112"/>
  <c r="S112" s="1"/>
  <c r="S156"/>
  <c r="S158"/>
  <c r="N195"/>
  <c r="S186"/>
  <c r="M292"/>
  <c r="M290"/>
  <c r="M33"/>
  <c r="V12"/>
  <c r="Z12"/>
  <c r="U12"/>
  <c r="Z14"/>
  <c r="V14"/>
  <c r="U14"/>
  <c r="V28"/>
  <c r="Z28"/>
  <c r="U28"/>
  <c r="W28" s="1"/>
  <c r="Z48"/>
  <c r="U48"/>
  <c r="V48"/>
  <c r="V57"/>
  <c r="Z57"/>
  <c r="U57"/>
  <c r="Z60"/>
  <c r="U60"/>
  <c r="W60" s="1"/>
  <c r="V60"/>
  <c r="Z74"/>
  <c r="U74"/>
  <c r="V74"/>
  <c r="Z77"/>
  <c r="U77"/>
  <c r="V77"/>
  <c r="V99"/>
  <c r="Z99"/>
  <c r="U99"/>
  <c r="Z102"/>
  <c r="U102"/>
  <c r="W102" s="1"/>
  <c r="V102"/>
  <c r="Z105"/>
  <c r="U105"/>
  <c r="V105"/>
  <c r="V111"/>
  <c r="Z111"/>
  <c r="U111"/>
  <c r="Z114"/>
  <c r="U114"/>
  <c r="V114"/>
  <c r="S13"/>
  <c r="S58"/>
  <c r="S62"/>
  <c r="S76"/>
  <c r="S100"/>
  <c r="S104"/>
  <c r="Z44"/>
  <c r="U44"/>
  <c r="V44"/>
  <c r="U46"/>
  <c r="Z46"/>
  <c r="Z47"/>
  <c r="U47"/>
  <c r="W47" s="1"/>
  <c r="V47"/>
  <c r="Z56"/>
  <c r="U56"/>
  <c r="V56"/>
  <c r="Z67"/>
  <c r="U67"/>
  <c r="U68"/>
  <c r="W68" s="1"/>
  <c r="V68"/>
  <c r="Z68"/>
  <c r="Z70"/>
  <c r="U70"/>
  <c r="W70" s="1"/>
  <c r="V70"/>
  <c r="U72"/>
  <c r="V72"/>
  <c r="Z72"/>
  <c r="Z73"/>
  <c r="U73"/>
  <c r="V73"/>
  <c r="U84"/>
  <c r="V84"/>
  <c r="Z84"/>
  <c r="Z86"/>
  <c r="U86"/>
  <c r="V86"/>
  <c r="V88"/>
  <c r="Z88"/>
  <c r="U92"/>
  <c r="V92"/>
  <c r="Z92"/>
  <c r="Z94"/>
  <c r="U94"/>
  <c r="V94"/>
  <c r="V96"/>
  <c r="Z96"/>
  <c r="Z110"/>
  <c r="U110"/>
  <c r="V118"/>
  <c r="Z118"/>
  <c r="U118"/>
  <c r="V119"/>
  <c r="Z119"/>
  <c r="U119"/>
  <c r="Z40"/>
  <c r="U40"/>
  <c r="V40"/>
  <c r="U42"/>
  <c r="V42"/>
  <c r="Z42"/>
  <c r="V16"/>
  <c r="Z16"/>
  <c r="U16"/>
  <c r="U19"/>
  <c r="V19"/>
  <c r="Z19"/>
  <c r="U27"/>
  <c r="W27" s="1"/>
  <c r="V27"/>
  <c r="Z27"/>
  <c r="Z30"/>
  <c r="V30"/>
  <c r="U30"/>
  <c r="Z39"/>
  <c r="U39"/>
  <c r="V39"/>
  <c r="Z52"/>
  <c r="U52"/>
  <c r="V52"/>
  <c r="U54"/>
  <c r="W54" s="1"/>
  <c r="V54"/>
  <c r="Z54"/>
  <c r="Z55"/>
  <c r="U55"/>
  <c r="W55" s="1"/>
  <c r="V55"/>
  <c r="U66"/>
  <c r="Z79"/>
  <c r="U79"/>
  <c r="Z81"/>
  <c r="U81"/>
  <c r="V81"/>
  <c r="V107"/>
  <c r="Z107"/>
  <c r="Z109"/>
  <c r="U109"/>
  <c r="V109"/>
  <c r="U127"/>
  <c r="V127"/>
  <c r="Z127"/>
  <c r="S17"/>
  <c r="S38"/>
  <c r="S80"/>
  <c r="S108"/>
  <c r="S11"/>
  <c r="V20"/>
  <c r="Z20"/>
  <c r="U20"/>
  <c r="W20" s="1"/>
  <c r="U21"/>
  <c r="W21" s="1"/>
  <c r="V21"/>
  <c r="Z21"/>
  <c r="U23"/>
  <c r="W23" s="1"/>
  <c r="Z23"/>
  <c r="V23"/>
  <c r="U31"/>
  <c r="Z31"/>
  <c r="V31"/>
  <c r="U15"/>
  <c r="V15"/>
  <c r="Z15"/>
  <c r="V24"/>
  <c r="Z24"/>
  <c r="U24"/>
  <c r="W24" s="1"/>
  <c r="Z26"/>
  <c r="V26"/>
  <c r="U26"/>
  <c r="V49"/>
  <c r="Z49"/>
  <c r="U49"/>
  <c r="Z51"/>
  <c r="U51"/>
  <c r="V51"/>
  <c r="V63"/>
  <c r="Z63"/>
  <c r="U63"/>
  <c r="W63" s="1"/>
  <c r="Z65"/>
  <c r="U65"/>
  <c r="W65" s="1"/>
  <c r="V65"/>
  <c r="Z78"/>
  <c r="U78"/>
  <c r="V78"/>
  <c r="Z106"/>
  <c r="U106"/>
  <c r="V106"/>
  <c r="V115"/>
  <c r="Z115"/>
  <c r="U115"/>
  <c r="W115" s="1"/>
  <c r="S50"/>
  <c r="S64"/>
  <c r="S116"/>
  <c r="Z126"/>
  <c r="V126"/>
  <c r="Z130"/>
  <c r="U130"/>
  <c r="V130"/>
  <c r="V132"/>
  <c r="Z132"/>
  <c r="U132"/>
  <c r="Z135"/>
  <c r="U135"/>
  <c r="W135" s="1"/>
  <c r="V135"/>
  <c r="U137"/>
  <c r="V137"/>
  <c r="Z137"/>
  <c r="Z152"/>
  <c r="U152"/>
  <c r="V152"/>
  <c r="U163"/>
  <c r="W163" s="1"/>
  <c r="V163"/>
  <c r="V172"/>
  <c r="U172"/>
  <c r="V174"/>
  <c r="U174"/>
  <c r="U179"/>
  <c r="V179"/>
  <c r="Z179"/>
  <c r="Z183"/>
  <c r="U183"/>
  <c r="V183"/>
  <c r="U190"/>
  <c r="W190" s="1"/>
  <c r="V190"/>
  <c r="Z190"/>
  <c r="Z192"/>
  <c r="U192"/>
  <c r="W192" s="1"/>
  <c r="V192"/>
  <c r="U194"/>
  <c r="V194"/>
  <c r="Z194"/>
  <c r="U208"/>
  <c r="W208" s="1"/>
  <c r="Z208"/>
  <c r="U210"/>
  <c r="W210" s="1"/>
  <c r="Z210"/>
  <c r="Z234"/>
  <c r="U234"/>
  <c r="W234" s="1"/>
  <c r="V29"/>
  <c r="S35"/>
  <c r="N59"/>
  <c r="S59" s="1"/>
  <c r="N69"/>
  <c r="S69" s="1"/>
  <c r="N85"/>
  <c r="S85" s="1"/>
  <c r="N89"/>
  <c r="S89" s="1"/>
  <c r="N93"/>
  <c r="S93" s="1"/>
  <c r="N97"/>
  <c r="S97" s="1"/>
  <c r="N101"/>
  <c r="S101" s="1"/>
  <c r="N113"/>
  <c r="S113" s="1"/>
  <c r="V121"/>
  <c r="S133"/>
  <c r="S184"/>
  <c r="S185"/>
  <c r="S229"/>
  <c r="L245"/>
  <c r="L247" s="1"/>
  <c r="L257" s="1"/>
  <c r="L259" s="1"/>
  <c r="L290"/>
  <c r="L261"/>
  <c r="L292"/>
  <c r="N164"/>
  <c r="N162"/>
  <c r="S162" s="1"/>
  <c r="N160"/>
  <c r="S160" s="1"/>
  <c r="N144"/>
  <c r="S144" s="1"/>
  <c r="N170"/>
  <c r="N168"/>
  <c r="N166"/>
  <c r="N159"/>
  <c r="N150"/>
  <c r="S150" s="1"/>
  <c r="N125"/>
  <c r="N169"/>
  <c r="S169" s="1"/>
  <c r="N167"/>
  <c r="S167" s="1"/>
  <c r="N165"/>
  <c r="S165" s="1"/>
  <c r="N149"/>
  <c r="S149" s="1"/>
  <c r="J292"/>
  <c r="J245"/>
  <c r="J247" s="1"/>
  <c r="J257" s="1"/>
  <c r="J259" s="1"/>
  <c r="J290"/>
  <c r="R292"/>
  <c r="R261"/>
  <c r="R245"/>
  <c r="R247" s="1"/>
  <c r="R257" s="1"/>
  <c r="R259" s="1"/>
  <c r="R290"/>
  <c r="I292"/>
  <c r="I245"/>
  <c r="I290"/>
  <c r="I261"/>
  <c r="Q292"/>
  <c r="Q245"/>
  <c r="Q247" s="1"/>
  <c r="Q257" s="1"/>
  <c r="Q259" s="1"/>
  <c r="Q290"/>
  <c r="V128"/>
  <c r="Z128"/>
  <c r="U128"/>
  <c r="Z131"/>
  <c r="U131"/>
  <c r="V131"/>
  <c r="V142"/>
  <c r="Z142"/>
  <c r="U142"/>
  <c r="V147"/>
  <c r="Z147"/>
  <c r="U147"/>
  <c r="V155"/>
  <c r="Z155"/>
  <c r="U155"/>
  <c r="U157"/>
  <c r="V157"/>
  <c r="U171"/>
  <c r="V171"/>
  <c r="U173"/>
  <c r="V173"/>
  <c r="U201"/>
  <c r="V201"/>
  <c r="Z201"/>
  <c r="U212"/>
  <c r="W212" s="1"/>
  <c r="Z212"/>
  <c r="U227"/>
  <c r="V227"/>
  <c r="U279"/>
  <c r="W276"/>
  <c r="W279" s="1"/>
  <c r="N18"/>
  <c r="S18" s="1"/>
  <c r="N22"/>
  <c r="S22" s="1"/>
  <c r="N36"/>
  <c r="S36" s="1"/>
  <c r="N43"/>
  <c r="S43" s="1"/>
  <c r="U29"/>
  <c r="W29" s="1"/>
  <c r="S117"/>
  <c r="U121"/>
  <c r="W121" s="1"/>
  <c r="U126"/>
  <c r="W126" s="1"/>
  <c r="S129"/>
  <c r="S159"/>
  <c r="S168"/>
  <c r="S180"/>
  <c r="S181"/>
  <c r="S182"/>
  <c r="V138"/>
  <c r="Z138"/>
  <c r="U138"/>
  <c r="Z143"/>
  <c r="U143"/>
  <c r="V143"/>
  <c r="Z148"/>
  <c r="U148"/>
  <c r="V148"/>
  <c r="U156"/>
  <c r="V156"/>
  <c r="U158"/>
  <c r="V158"/>
  <c r="Z186"/>
  <c r="U186"/>
  <c r="V186"/>
  <c r="U188"/>
  <c r="V188"/>
  <c r="Z188"/>
  <c r="V191"/>
  <c r="Z191"/>
  <c r="U191"/>
  <c r="Z193"/>
  <c r="U193"/>
  <c r="V193"/>
  <c r="Z199"/>
  <c r="U199"/>
  <c r="V199"/>
  <c r="Z200"/>
  <c r="U200"/>
  <c r="V200"/>
  <c r="Q291"/>
  <c r="N45"/>
  <c r="S45" s="1"/>
  <c r="N53"/>
  <c r="S53" s="1"/>
  <c r="N71"/>
  <c r="S71" s="1"/>
  <c r="N75"/>
  <c r="S75" s="1"/>
  <c r="N83"/>
  <c r="S83" s="1"/>
  <c r="N87"/>
  <c r="S87" s="1"/>
  <c r="N91"/>
  <c r="S91" s="1"/>
  <c r="N95"/>
  <c r="S95" s="1"/>
  <c r="N103"/>
  <c r="S103" s="1"/>
  <c r="N120"/>
  <c r="S120" s="1"/>
  <c r="N123"/>
  <c r="S123" s="1"/>
  <c r="N124"/>
  <c r="S124" s="1"/>
  <c r="S125"/>
  <c r="S164"/>
  <c r="H245"/>
  <c r="H247" s="1"/>
  <c r="H257" s="1"/>
  <c r="H259" s="1"/>
  <c r="H290"/>
  <c r="H261"/>
  <c r="H292"/>
  <c r="P245"/>
  <c r="P247" s="1"/>
  <c r="P257" s="1"/>
  <c r="P259" s="1"/>
  <c r="P290"/>
  <c r="P261"/>
  <c r="P292"/>
  <c r="G290"/>
  <c r="G261"/>
  <c r="G292"/>
  <c r="G245"/>
  <c r="K290"/>
  <c r="K261"/>
  <c r="K292"/>
  <c r="K245"/>
  <c r="K247" s="1"/>
  <c r="K257" s="1"/>
  <c r="K259" s="1"/>
  <c r="O290"/>
  <c r="O292"/>
  <c r="V134"/>
  <c r="Z134"/>
  <c r="U134"/>
  <c r="W134" s="1"/>
  <c r="Z139"/>
  <c r="U139"/>
  <c r="V139"/>
  <c r="U141"/>
  <c r="W141" s="1"/>
  <c r="V141"/>
  <c r="Z141"/>
  <c r="U146"/>
  <c r="V146"/>
  <c r="Z146"/>
  <c r="V151"/>
  <c r="Z151"/>
  <c r="U151"/>
  <c r="W151" s="1"/>
  <c r="U154"/>
  <c r="V154"/>
  <c r="Z154"/>
  <c r="U161"/>
  <c r="W161" s="1"/>
  <c r="V161"/>
  <c r="V187"/>
  <c r="Z187"/>
  <c r="U187"/>
  <c r="W187" s="1"/>
  <c r="U189"/>
  <c r="V189"/>
  <c r="Z189"/>
  <c r="V202"/>
  <c r="Z202"/>
  <c r="U202"/>
  <c r="M218"/>
  <c r="S207"/>
  <c r="Z209"/>
  <c r="U209"/>
  <c r="W209" s="1"/>
  <c r="Z211"/>
  <c r="U211"/>
  <c r="W211" s="1"/>
  <c r="V222"/>
  <c r="Z222"/>
  <c r="U222"/>
  <c r="V226"/>
  <c r="U226"/>
  <c r="Z232"/>
  <c r="U232"/>
  <c r="Z235"/>
  <c r="U235"/>
  <c r="W235" s="1"/>
  <c r="N41"/>
  <c r="S41" s="1"/>
  <c r="N61"/>
  <c r="S61" s="1"/>
  <c r="N25"/>
  <c r="S25" s="1"/>
  <c r="M37"/>
  <c r="S37" s="1"/>
  <c r="N122"/>
  <c r="S122" s="1"/>
  <c r="S166"/>
  <c r="S170"/>
  <c r="V203"/>
  <c r="J218"/>
  <c r="J261" s="1"/>
  <c r="U224"/>
  <c r="W224" s="1"/>
  <c r="N241"/>
  <c r="S255"/>
  <c r="Z255" s="1"/>
  <c r="Z268"/>
  <c r="S279"/>
  <c r="Z279" s="1"/>
  <c r="K326"/>
  <c r="O326"/>
  <c r="M328"/>
  <c r="W387"/>
  <c r="J334"/>
  <c r="W337"/>
  <c r="W336"/>
  <c r="G334"/>
  <c r="H334"/>
  <c r="E368"/>
  <c r="E333"/>
  <c r="E332"/>
  <c r="W330"/>
  <c r="W368"/>
  <c r="E330"/>
  <c r="W333"/>
  <c r="W332"/>
  <c r="V136"/>
  <c r="V140"/>
  <c r="V145"/>
  <c r="W145" s="1"/>
  <c r="V153"/>
  <c r="W153" s="1"/>
  <c r="S178"/>
  <c r="U203"/>
  <c r="W203" s="1"/>
  <c r="V221"/>
  <c r="V223"/>
  <c r="V225"/>
  <c r="W225" s="1"/>
  <c r="V228"/>
  <c r="W228" s="1"/>
  <c r="M233"/>
  <c r="S233" s="1"/>
  <c r="S241" s="1"/>
  <c r="U250"/>
  <c r="Z276"/>
  <c r="Z277"/>
  <c r="Z278"/>
  <c r="J326"/>
  <c r="N326"/>
  <c r="R326"/>
  <c r="U335"/>
  <c r="I335"/>
  <c r="R334"/>
  <c r="N334"/>
  <c r="S334"/>
  <c r="O334"/>
  <c r="K334"/>
  <c r="E337"/>
  <c r="E336"/>
  <c r="P334"/>
  <c r="L334"/>
  <c r="E387"/>
  <c r="Q334"/>
  <c r="M334"/>
  <c r="U136"/>
  <c r="W136" s="1"/>
  <c r="U140"/>
  <c r="U221"/>
  <c r="U223"/>
  <c r="W223" s="1"/>
  <c r="Z251"/>
  <c r="U268"/>
  <c r="S269"/>
  <c r="S273" s="1"/>
  <c r="N273"/>
  <c r="H309"/>
  <c r="W315" s="1"/>
  <c r="M326"/>
  <c r="Q326"/>
  <c r="E327"/>
  <c r="I331"/>
  <c r="U331"/>
  <c r="O195"/>
  <c r="S198"/>
  <c r="Z221"/>
  <c r="E315"/>
  <c r="L326"/>
  <c r="P326"/>
  <c r="W327"/>
  <c r="Z88" i="10" l="1"/>
  <c r="S88"/>
  <c r="W172"/>
  <c r="W161"/>
  <c r="I329"/>
  <c r="Z144"/>
  <c r="V158"/>
  <c r="W158" s="1"/>
  <c r="R326"/>
  <c r="L326"/>
  <c r="P326"/>
  <c r="Q326"/>
  <c r="I326"/>
  <c r="S333"/>
  <c r="W200"/>
  <c r="W226"/>
  <c r="Z80"/>
  <c r="Z234"/>
  <c r="U167"/>
  <c r="V167"/>
  <c r="H332"/>
  <c r="J332"/>
  <c r="G332"/>
  <c r="U154"/>
  <c r="V154"/>
  <c r="U137"/>
  <c r="V137"/>
  <c r="E386"/>
  <c r="E336"/>
  <c r="E335"/>
  <c r="P333"/>
  <c r="L333"/>
  <c r="Q333"/>
  <c r="R333"/>
  <c r="O333"/>
  <c r="K333"/>
  <c r="U189"/>
  <c r="V189"/>
  <c r="U130"/>
  <c r="W130" s="1"/>
  <c r="V130"/>
  <c r="V203"/>
  <c r="U203"/>
  <c r="V192"/>
  <c r="U192"/>
  <c r="V135"/>
  <c r="U135"/>
  <c r="W135" s="1"/>
  <c r="V119"/>
  <c r="U119"/>
  <c r="V107"/>
  <c r="U107"/>
  <c r="W107" s="1"/>
  <c r="V95"/>
  <c r="U95"/>
  <c r="Z240"/>
  <c r="S241"/>
  <c r="U202"/>
  <c r="W202" s="1"/>
  <c r="V202"/>
  <c r="U181"/>
  <c r="V181"/>
  <c r="S106"/>
  <c r="Z106" s="1"/>
  <c r="U178"/>
  <c r="S195"/>
  <c r="Z195" s="1"/>
  <c r="V178"/>
  <c r="U165"/>
  <c r="W165" s="1"/>
  <c r="V165"/>
  <c r="S97"/>
  <c r="Z97" s="1"/>
  <c r="U88"/>
  <c r="W88" s="1"/>
  <c r="V88"/>
  <c r="U77"/>
  <c r="V77"/>
  <c r="U31"/>
  <c r="W31" s="1"/>
  <c r="V31"/>
  <c r="U159"/>
  <c r="V159"/>
  <c r="S170"/>
  <c r="V74"/>
  <c r="U74"/>
  <c r="V56"/>
  <c r="U56"/>
  <c r="V40"/>
  <c r="U40"/>
  <c r="V26"/>
  <c r="U26"/>
  <c r="U118"/>
  <c r="V118"/>
  <c r="U94"/>
  <c r="W94" s="1"/>
  <c r="V94"/>
  <c r="U71"/>
  <c r="V71"/>
  <c r="U61"/>
  <c r="W61" s="1"/>
  <c r="V61"/>
  <c r="U53"/>
  <c r="W53" s="1"/>
  <c r="V53"/>
  <c r="U41"/>
  <c r="V41"/>
  <c r="U29"/>
  <c r="V29"/>
  <c r="U132"/>
  <c r="V132"/>
  <c r="U64"/>
  <c r="W64" s="1"/>
  <c r="V64"/>
  <c r="U38"/>
  <c r="W38" s="1"/>
  <c r="V38"/>
  <c r="M367"/>
  <c r="U367" s="1"/>
  <c r="Z119"/>
  <c r="N175"/>
  <c r="S22"/>
  <c r="S196"/>
  <c r="W156"/>
  <c r="S83"/>
  <c r="P260"/>
  <c r="Z53"/>
  <c r="Z41"/>
  <c r="Z29"/>
  <c r="Z94"/>
  <c r="Z22"/>
  <c r="P331"/>
  <c r="L331"/>
  <c r="Q331"/>
  <c r="M331"/>
  <c r="R331"/>
  <c r="N331"/>
  <c r="S331"/>
  <c r="O331"/>
  <c r="K331"/>
  <c r="U194"/>
  <c r="V194"/>
  <c r="U182"/>
  <c r="V182"/>
  <c r="U157"/>
  <c r="W157" s="1"/>
  <c r="V157"/>
  <c r="U141"/>
  <c r="W141" s="1"/>
  <c r="V141"/>
  <c r="U129"/>
  <c r="W129" s="1"/>
  <c r="V129"/>
  <c r="U149"/>
  <c r="W149" s="1"/>
  <c r="V149"/>
  <c r="U140"/>
  <c r="W140" s="1"/>
  <c r="V140"/>
  <c r="J336"/>
  <c r="G336"/>
  <c r="H336"/>
  <c r="W267"/>
  <c r="W275"/>
  <c r="W278" s="1"/>
  <c r="U278"/>
  <c r="V180"/>
  <c r="U180"/>
  <c r="V148"/>
  <c r="U148"/>
  <c r="V139"/>
  <c r="U139"/>
  <c r="V123"/>
  <c r="U123"/>
  <c r="V111"/>
  <c r="U111"/>
  <c r="V99"/>
  <c r="U99"/>
  <c r="W385"/>
  <c r="W384"/>
  <c r="W383"/>
  <c r="W382"/>
  <c r="W381"/>
  <c r="W380"/>
  <c r="W379"/>
  <c r="W378"/>
  <c r="W377"/>
  <c r="W376"/>
  <c r="W375"/>
  <c r="W374"/>
  <c r="W373"/>
  <c r="W372"/>
  <c r="W398"/>
  <c r="W397"/>
  <c r="W396"/>
  <c r="W395"/>
  <c r="W394"/>
  <c r="W393"/>
  <c r="W392"/>
  <c r="W391"/>
  <c r="W390"/>
  <c r="W389"/>
  <c r="W388"/>
  <c r="W364"/>
  <c r="W363"/>
  <c r="W412"/>
  <c r="W411"/>
  <c r="W410"/>
  <c r="W409"/>
  <c r="W408"/>
  <c r="W407"/>
  <c r="W406"/>
  <c r="W405"/>
  <c r="W404"/>
  <c r="W403"/>
  <c r="W402"/>
  <c r="W401"/>
  <c r="W400"/>
  <c r="W345"/>
  <c r="W344"/>
  <c r="W343"/>
  <c r="W342"/>
  <c r="W341"/>
  <c r="W340"/>
  <c r="W339"/>
  <c r="W359"/>
  <c r="W358"/>
  <c r="W357"/>
  <c r="W356"/>
  <c r="W355"/>
  <c r="W354"/>
  <c r="W353"/>
  <c r="W352"/>
  <c r="W351"/>
  <c r="W350"/>
  <c r="W349"/>
  <c r="W348"/>
  <c r="W347"/>
  <c r="W362"/>
  <c r="W361"/>
  <c r="W319"/>
  <c r="W318"/>
  <c r="W317"/>
  <c r="W316"/>
  <c r="W315"/>
  <c r="W337"/>
  <c r="W323"/>
  <c r="W322"/>
  <c r="W321"/>
  <c r="H314"/>
  <c r="J314"/>
  <c r="G314"/>
  <c r="S334"/>
  <c r="U250"/>
  <c r="W250" s="1"/>
  <c r="U185"/>
  <c r="V185"/>
  <c r="S120"/>
  <c r="Z120" s="1"/>
  <c r="S112"/>
  <c r="Z112" s="1"/>
  <c r="S100"/>
  <c r="Z100" s="1"/>
  <c r="S92"/>
  <c r="Z92" s="1"/>
  <c r="S84"/>
  <c r="Z84" s="1"/>
  <c r="S59"/>
  <c r="Z59" s="1"/>
  <c r="U169"/>
  <c r="V169"/>
  <c r="S117"/>
  <c r="Z117" s="1"/>
  <c r="N314"/>
  <c r="Z101"/>
  <c r="S101"/>
  <c r="U65"/>
  <c r="W65" s="1"/>
  <c r="V65"/>
  <c r="U51"/>
  <c r="W51" s="1"/>
  <c r="V51"/>
  <c r="U35"/>
  <c r="V35"/>
  <c r="U23"/>
  <c r="V23"/>
  <c r="U17"/>
  <c r="W17" s="1"/>
  <c r="V17"/>
  <c r="U187"/>
  <c r="V187"/>
  <c r="U122"/>
  <c r="W122" s="1"/>
  <c r="V122"/>
  <c r="V109"/>
  <c r="U109"/>
  <c r="V87"/>
  <c r="U87"/>
  <c r="R281"/>
  <c r="R292" s="1"/>
  <c r="R261"/>
  <c r="R262" s="1"/>
  <c r="R264" s="1"/>
  <c r="R280" s="1"/>
  <c r="Z150"/>
  <c r="S150"/>
  <c r="U168"/>
  <c r="V168"/>
  <c r="V14"/>
  <c r="U14"/>
  <c r="U96"/>
  <c r="V96"/>
  <c r="U75"/>
  <c r="W75" s="1"/>
  <c r="V75"/>
  <c r="U63"/>
  <c r="W63" s="1"/>
  <c r="V63"/>
  <c r="U45"/>
  <c r="V45"/>
  <c r="U11"/>
  <c r="V11"/>
  <c r="U54"/>
  <c r="W54" s="1"/>
  <c r="V54"/>
  <c r="U42"/>
  <c r="V42"/>
  <c r="U58"/>
  <c r="W58" s="1"/>
  <c r="V58"/>
  <c r="Z135"/>
  <c r="Z192"/>
  <c r="Z180"/>
  <c r="Z130"/>
  <c r="S78"/>
  <c r="S66"/>
  <c r="Z66" s="1"/>
  <c r="S44"/>
  <c r="Z44" s="1"/>
  <c r="W227"/>
  <c r="G244"/>
  <c r="Z129"/>
  <c r="P244"/>
  <c r="P246" s="1"/>
  <c r="P256" s="1"/>
  <c r="P258" s="1"/>
  <c r="Z96"/>
  <c r="Z45"/>
  <c r="Z23"/>
  <c r="Z71"/>
  <c r="Z56"/>
  <c r="Z77"/>
  <c r="P332"/>
  <c r="L332"/>
  <c r="Q332"/>
  <c r="M332"/>
  <c r="R332"/>
  <c r="N332"/>
  <c r="S332"/>
  <c r="O332"/>
  <c r="K332"/>
  <c r="U186"/>
  <c r="V186"/>
  <c r="U163"/>
  <c r="V163"/>
  <c r="U146"/>
  <c r="W146" s="1"/>
  <c r="V146"/>
  <c r="U133"/>
  <c r="V133"/>
  <c r="U330"/>
  <c r="I330"/>
  <c r="J335"/>
  <c r="G335"/>
  <c r="H335"/>
  <c r="J386"/>
  <c r="G386"/>
  <c r="H386"/>
  <c r="S254"/>
  <c r="Z254" s="1"/>
  <c r="U249"/>
  <c r="S325"/>
  <c r="S218"/>
  <c r="Z218" s="1"/>
  <c r="U207"/>
  <c r="V199"/>
  <c r="U199"/>
  <c r="V184"/>
  <c r="U184"/>
  <c r="V152"/>
  <c r="U152"/>
  <c r="V143"/>
  <c r="U143"/>
  <c r="V127"/>
  <c r="U127"/>
  <c r="V115"/>
  <c r="U115"/>
  <c r="U314"/>
  <c r="V91"/>
  <c r="U91"/>
  <c r="U257"/>
  <c r="V257"/>
  <c r="V258" s="1"/>
  <c r="U333"/>
  <c r="I333"/>
  <c r="U191"/>
  <c r="V191"/>
  <c r="V162"/>
  <c r="U162"/>
  <c r="Z114"/>
  <c r="S114"/>
  <c r="S108"/>
  <c r="Z108" s="1"/>
  <c r="Z102"/>
  <c r="S102"/>
  <c r="S89"/>
  <c r="Z89" s="1"/>
  <c r="Z69"/>
  <c r="S69"/>
  <c r="S43"/>
  <c r="Q261"/>
  <c r="Q281"/>
  <c r="Z93"/>
  <c r="S93"/>
  <c r="U80"/>
  <c r="V80"/>
  <c r="U55"/>
  <c r="V55"/>
  <c r="U27"/>
  <c r="W27" s="1"/>
  <c r="V27"/>
  <c r="S166"/>
  <c r="V60"/>
  <c r="U60"/>
  <c r="V48"/>
  <c r="U48"/>
  <c r="V30"/>
  <c r="U30"/>
  <c r="J412"/>
  <c r="M222"/>
  <c r="J229"/>
  <c r="S124"/>
  <c r="Z124"/>
  <c r="U104"/>
  <c r="V104"/>
  <c r="U67"/>
  <c r="V67"/>
  <c r="U57"/>
  <c r="W57" s="1"/>
  <c r="V57"/>
  <c r="U49"/>
  <c r="V49"/>
  <c r="U15"/>
  <c r="V15"/>
  <c r="U183"/>
  <c r="V183"/>
  <c r="U126"/>
  <c r="V126"/>
  <c r="L261"/>
  <c r="L262" s="1"/>
  <c r="L264" s="1"/>
  <c r="L280" s="1"/>
  <c r="L281"/>
  <c r="H281"/>
  <c r="H292" s="1"/>
  <c r="H261"/>
  <c r="H262" s="1"/>
  <c r="H264" s="1"/>
  <c r="H280" s="1"/>
  <c r="U62"/>
  <c r="V62"/>
  <c r="U76"/>
  <c r="V76"/>
  <c r="U68"/>
  <c r="V68"/>
  <c r="V85"/>
  <c r="U85"/>
  <c r="W85" s="1"/>
  <c r="U50"/>
  <c r="V50"/>
  <c r="U12"/>
  <c r="V12"/>
  <c r="S204"/>
  <c r="Z204" s="1"/>
  <c r="Z123"/>
  <c r="S205"/>
  <c r="Z181"/>
  <c r="Z148"/>
  <c r="Z137"/>
  <c r="G260"/>
  <c r="S25"/>
  <c r="Z25" s="1"/>
  <c r="Z118"/>
  <c r="Z74"/>
  <c r="Z35"/>
  <c r="N32"/>
  <c r="Z78"/>
  <c r="Z57"/>
  <c r="Z26"/>
  <c r="Z61"/>
  <c r="H331"/>
  <c r="J331"/>
  <c r="G331"/>
  <c r="O367"/>
  <c r="K367"/>
  <c r="P367"/>
  <c r="L367"/>
  <c r="H367"/>
  <c r="Q367"/>
  <c r="I367"/>
  <c r="R367"/>
  <c r="J367"/>
  <c r="G367"/>
  <c r="U201"/>
  <c r="V201"/>
  <c r="V204" s="1"/>
  <c r="U190"/>
  <c r="V190"/>
  <c r="S330"/>
  <c r="U268"/>
  <c r="W268" s="1"/>
  <c r="U179"/>
  <c r="V179"/>
  <c r="U153"/>
  <c r="V153"/>
  <c r="U145"/>
  <c r="V145"/>
  <c r="U136"/>
  <c r="V136"/>
  <c r="S367"/>
  <c r="V224"/>
  <c r="U224"/>
  <c r="S329"/>
  <c r="U209"/>
  <c r="W209" s="1"/>
  <c r="V188"/>
  <c r="U188"/>
  <c r="V144"/>
  <c r="U144"/>
  <c r="V131"/>
  <c r="U131"/>
  <c r="V103"/>
  <c r="U103"/>
  <c r="S110"/>
  <c r="S98"/>
  <c r="Z98" s="1"/>
  <c r="Z90"/>
  <c r="S90"/>
  <c r="S82"/>
  <c r="V160"/>
  <c r="U160"/>
  <c r="W160" s="1"/>
  <c r="S113"/>
  <c r="V81"/>
  <c r="U81"/>
  <c r="U73"/>
  <c r="V73"/>
  <c r="U47"/>
  <c r="V47"/>
  <c r="U39"/>
  <c r="V39"/>
  <c r="U21"/>
  <c r="V21"/>
  <c r="U13"/>
  <c r="V13"/>
  <c r="U128"/>
  <c r="V128"/>
  <c r="U121"/>
  <c r="V121"/>
  <c r="V105"/>
  <c r="U105"/>
  <c r="V79"/>
  <c r="U79"/>
  <c r="U164"/>
  <c r="V164"/>
  <c r="V70"/>
  <c r="U70"/>
  <c r="V52"/>
  <c r="U52"/>
  <c r="E385"/>
  <c r="N385" s="1"/>
  <c r="E384"/>
  <c r="E383"/>
  <c r="S383" s="1"/>
  <c r="E382"/>
  <c r="E381"/>
  <c r="E380"/>
  <c r="E379"/>
  <c r="E378"/>
  <c r="E377"/>
  <c r="E376"/>
  <c r="E375"/>
  <c r="N375" s="1"/>
  <c r="E374"/>
  <c r="E373"/>
  <c r="E372"/>
  <c r="E398"/>
  <c r="E397"/>
  <c r="S397" s="1"/>
  <c r="E396"/>
  <c r="E395"/>
  <c r="E394"/>
  <c r="S394" s="1"/>
  <c r="E393"/>
  <c r="E392"/>
  <c r="E391"/>
  <c r="E390"/>
  <c r="S390" s="1"/>
  <c r="E389"/>
  <c r="E388"/>
  <c r="S388" s="1"/>
  <c r="E412"/>
  <c r="E411"/>
  <c r="E410"/>
  <c r="E409"/>
  <c r="N409" s="1"/>
  <c r="E408"/>
  <c r="E407"/>
  <c r="N407" s="1"/>
  <c r="E406"/>
  <c r="E405"/>
  <c r="E404"/>
  <c r="E403"/>
  <c r="S403" s="1"/>
  <c r="E402"/>
  <c r="E401"/>
  <c r="E400"/>
  <c r="E364"/>
  <c r="E337"/>
  <c r="E323"/>
  <c r="E322"/>
  <c r="E321"/>
  <c r="N321" s="1"/>
  <c r="E345"/>
  <c r="E344"/>
  <c r="E343"/>
  <c r="E342"/>
  <c r="E341"/>
  <c r="E340"/>
  <c r="N340" s="1"/>
  <c r="E339"/>
  <c r="E359"/>
  <c r="E358"/>
  <c r="E357"/>
  <c r="N357" s="1"/>
  <c r="E356"/>
  <c r="E355"/>
  <c r="E354"/>
  <c r="E353"/>
  <c r="N353" s="1"/>
  <c r="E352"/>
  <c r="E351"/>
  <c r="N351" s="1"/>
  <c r="E350"/>
  <c r="E349"/>
  <c r="E348"/>
  <c r="E347"/>
  <c r="S347" s="1"/>
  <c r="Q314"/>
  <c r="E363"/>
  <c r="E362"/>
  <c r="E361"/>
  <c r="E319"/>
  <c r="O314"/>
  <c r="E315"/>
  <c r="P314"/>
  <c r="K314"/>
  <c r="E318"/>
  <c r="S318" s="1"/>
  <c r="E317"/>
  <c r="E316"/>
  <c r="R314"/>
  <c r="L314"/>
  <c r="O281"/>
  <c r="O261"/>
  <c r="O262" s="1"/>
  <c r="O264" s="1"/>
  <c r="O280" s="1"/>
  <c r="K281"/>
  <c r="K292" s="1"/>
  <c r="K261"/>
  <c r="K262" s="1"/>
  <c r="K264" s="1"/>
  <c r="K280" s="1"/>
  <c r="S125"/>
  <c r="Z125" s="1"/>
  <c r="U116"/>
  <c r="V116"/>
  <c r="U86"/>
  <c r="V86"/>
  <c r="U37"/>
  <c r="V37"/>
  <c r="U19"/>
  <c r="V19"/>
  <c r="U46"/>
  <c r="V46"/>
  <c r="U16"/>
  <c r="V16"/>
  <c r="U20"/>
  <c r="V20"/>
  <c r="U72"/>
  <c r="V72"/>
  <c r="S272"/>
  <c r="Z272" s="1"/>
  <c r="Z191"/>
  <c r="Z184"/>
  <c r="Z140"/>
  <c r="Z115"/>
  <c r="Z103"/>
  <c r="M241"/>
  <c r="Z131"/>
  <c r="Z199"/>
  <c r="Z182"/>
  <c r="Z154"/>
  <c r="Z139"/>
  <c r="S36"/>
  <c r="S18"/>
  <c r="Z203"/>
  <c r="Z141"/>
  <c r="W174"/>
  <c r="Z132"/>
  <c r="Z75"/>
  <c r="Z52"/>
  <c r="Z40"/>
  <c r="Z15"/>
  <c r="Z81"/>
  <c r="Z51"/>
  <c r="Z27"/>
  <c r="Z13"/>
  <c r="Z64"/>
  <c r="Z48"/>
  <c r="Z31"/>
  <c r="Z11"/>
  <c r="Z63"/>
  <c r="Z47"/>
  <c r="Z17"/>
  <c r="Z38"/>
  <c r="W79" i="8"/>
  <c r="W258"/>
  <c r="W259" s="1"/>
  <c r="U259"/>
  <c r="W49"/>
  <c r="W16"/>
  <c r="W118"/>
  <c r="W110"/>
  <c r="Z98"/>
  <c r="Z90"/>
  <c r="Z82"/>
  <c r="W46"/>
  <c r="W188"/>
  <c r="W143"/>
  <c r="W142"/>
  <c r="W194"/>
  <c r="W183"/>
  <c r="W179"/>
  <c r="W152"/>
  <c r="W137"/>
  <c r="W132"/>
  <c r="W130"/>
  <c r="U98"/>
  <c r="U90"/>
  <c r="U82"/>
  <c r="W99"/>
  <c r="W77"/>
  <c r="W57"/>
  <c r="W48"/>
  <c r="W12"/>
  <c r="Z273"/>
  <c r="W222"/>
  <c r="M219"/>
  <c r="W146"/>
  <c r="W200"/>
  <c r="W156"/>
  <c r="W201"/>
  <c r="W171"/>
  <c r="W106"/>
  <c r="W51"/>
  <c r="Z66"/>
  <c r="W52"/>
  <c r="W73"/>
  <c r="W72"/>
  <c r="W44"/>
  <c r="V91"/>
  <c r="Z91"/>
  <c r="U91"/>
  <c r="V124"/>
  <c r="Z124"/>
  <c r="U124"/>
  <c r="V95"/>
  <c r="Z95"/>
  <c r="U95"/>
  <c r="V75"/>
  <c r="Z75"/>
  <c r="U75"/>
  <c r="W75" s="1"/>
  <c r="V103"/>
  <c r="Z103"/>
  <c r="U103"/>
  <c r="V45"/>
  <c r="Z45"/>
  <c r="U45"/>
  <c r="W45" s="1"/>
  <c r="U150"/>
  <c r="V150"/>
  <c r="Z150"/>
  <c r="V41"/>
  <c r="Z41"/>
  <c r="U41"/>
  <c r="W41" s="1"/>
  <c r="V83"/>
  <c r="Z83"/>
  <c r="U83"/>
  <c r="V61"/>
  <c r="Z61"/>
  <c r="U61"/>
  <c r="W61" s="1"/>
  <c r="U120"/>
  <c r="Z120"/>
  <c r="V120"/>
  <c r="V87"/>
  <c r="Z87"/>
  <c r="U87"/>
  <c r="W87" s="1"/>
  <c r="V53"/>
  <c r="Z53"/>
  <c r="U53"/>
  <c r="V71"/>
  <c r="Z71"/>
  <c r="U71"/>
  <c r="U334"/>
  <c r="I334"/>
  <c r="U326"/>
  <c r="I326"/>
  <c r="W268"/>
  <c r="P336"/>
  <c r="L336"/>
  <c r="Q336"/>
  <c r="M336"/>
  <c r="R336"/>
  <c r="N336"/>
  <c r="S336"/>
  <c r="O336"/>
  <c r="K336"/>
  <c r="S195"/>
  <c r="V178"/>
  <c r="Z178"/>
  <c r="U178"/>
  <c r="S368"/>
  <c r="O368"/>
  <c r="K368"/>
  <c r="G368"/>
  <c r="R368"/>
  <c r="N368"/>
  <c r="J368"/>
  <c r="Q368"/>
  <c r="I368"/>
  <c r="L368"/>
  <c r="M368"/>
  <c r="U368" s="1"/>
  <c r="P368"/>
  <c r="H368"/>
  <c r="H337"/>
  <c r="J337"/>
  <c r="G337"/>
  <c r="U328"/>
  <c r="I328"/>
  <c r="V170"/>
  <c r="U170"/>
  <c r="W170" s="1"/>
  <c r="V37"/>
  <c r="Z37"/>
  <c r="U37"/>
  <c r="W37" s="1"/>
  <c r="P282"/>
  <c r="P293" s="1"/>
  <c r="P262"/>
  <c r="H282"/>
  <c r="H293" s="1"/>
  <c r="H262"/>
  <c r="U123"/>
  <c r="W123" s="1"/>
  <c r="V123"/>
  <c r="Z123"/>
  <c r="Z182"/>
  <c r="U182"/>
  <c r="W182" s="1"/>
  <c r="V182"/>
  <c r="U159"/>
  <c r="V159"/>
  <c r="Z117"/>
  <c r="U117"/>
  <c r="V117"/>
  <c r="Z22"/>
  <c r="V22"/>
  <c r="U22"/>
  <c r="R282"/>
  <c r="R293" s="1"/>
  <c r="R262"/>
  <c r="U165"/>
  <c r="W165" s="1"/>
  <c r="V165"/>
  <c r="L282"/>
  <c r="L262"/>
  <c r="Z229"/>
  <c r="S230"/>
  <c r="Z113"/>
  <c r="U113"/>
  <c r="V113"/>
  <c r="Z89"/>
  <c r="U89"/>
  <c r="V89"/>
  <c r="S175"/>
  <c r="U35"/>
  <c r="V35"/>
  <c r="Z35"/>
  <c r="U50"/>
  <c r="W50" s="1"/>
  <c r="V50"/>
  <c r="Z50"/>
  <c r="U38"/>
  <c r="V38"/>
  <c r="Z38"/>
  <c r="U104"/>
  <c r="V104"/>
  <c r="Z104"/>
  <c r="U62"/>
  <c r="V62"/>
  <c r="Z62"/>
  <c r="U13"/>
  <c r="W13" s="1"/>
  <c r="V13"/>
  <c r="Z13"/>
  <c r="W202"/>
  <c r="W139"/>
  <c r="W193"/>
  <c r="W158"/>
  <c r="W148"/>
  <c r="W173"/>
  <c r="W157"/>
  <c r="W147"/>
  <c r="W174"/>
  <c r="W78"/>
  <c r="N32"/>
  <c r="W127"/>
  <c r="W107"/>
  <c r="W81"/>
  <c r="W30"/>
  <c r="W19"/>
  <c r="W40"/>
  <c r="W119"/>
  <c r="W94"/>
  <c r="W92"/>
  <c r="W86"/>
  <c r="W84"/>
  <c r="W67"/>
  <c r="W56"/>
  <c r="W111"/>
  <c r="W105"/>
  <c r="W74"/>
  <c r="J327"/>
  <c r="G327"/>
  <c r="H327"/>
  <c r="P330"/>
  <c r="L330"/>
  <c r="Q330"/>
  <c r="M330"/>
  <c r="R330"/>
  <c r="N330"/>
  <c r="S330"/>
  <c r="O330"/>
  <c r="K330"/>
  <c r="R333"/>
  <c r="N333"/>
  <c r="S333"/>
  <c r="O333"/>
  <c r="K333"/>
  <c r="P333"/>
  <c r="L333"/>
  <c r="Q333"/>
  <c r="M333"/>
  <c r="H336"/>
  <c r="J336"/>
  <c r="G336"/>
  <c r="Z122"/>
  <c r="V122"/>
  <c r="U122"/>
  <c r="W122" s="1"/>
  <c r="V168"/>
  <c r="U168"/>
  <c r="Z36"/>
  <c r="U36"/>
  <c r="V36"/>
  <c r="Z149"/>
  <c r="U149"/>
  <c r="V149"/>
  <c r="U162"/>
  <c r="V162"/>
  <c r="Z93"/>
  <c r="U93"/>
  <c r="V93"/>
  <c r="Z59"/>
  <c r="U59"/>
  <c r="V59"/>
  <c r="U116"/>
  <c r="V116"/>
  <c r="Z116"/>
  <c r="S32"/>
  <c r="U11"/>
  <c r="V11"/>
  <c r="Z11"/>
  <c r="U80"/>
  <c r="V80"/>
  <c r="Z80"/>
  <c r="U112"/>
  <c r="V112"/>
  <c r="Z112"/>
  <c r="O261"/>
  <c r="W131"/>
  <c r="N175"/>
  <c r="S331"/>
  <c r="Z269"/>
  <c r="U269"/>
  <c r="W269" s="1"/>
  <c r="U229"/>
  <c r="W221"/>
  <c r="U233"/>
  <c r="W233" s="1"/>
  <c r="Z233"/>
  <c r="J333"/>
  <c r="G333"/>
  <c r="H333"/>
  <c r="R332"/>
  <c r="N332"/>
  <c r="S332"/>
  <c r="O332"/>
  <c r="K332"/>
  <c r="P332"/>
  <c r="L332"/>
  <c r="Q332"/>
  <c r="M332"/>
  <c r="H387"/>
  <c r="G387"/>
  <c r="J387"/>
  <c r="U241"/>
  <c r="W232"/>
  <c r="W241" s="1"/>
  <c r="S218"/>
  <c r="Z207"/>
  <c r="U207"/>
  <c r="U125"/>
  <c r="Z125"/>
  <c r="V125"/>
  <c r="Z180"/>
  <c r="U180"/>
  <c r="V180"/>
  <c r="Z43"/>
  <c r="U43"/>
  <c r="V43"/>
  <c r="U169"/>
  <c r="V169"/>
  <c r="U160"/>
  <c r="V160"/>
  <c r="V184"/>
  <c r="Z184"/>
  <c r="U184"/>
  <c r="U133"/>
  <c r="V133"/>
  <c r="Z133"/>
  <c r="Z97"/>
  <c r="U97"/>
  <c r="V97"/>
  <c r="Z69"/>
  <c r="U69"/>
  <c r="V69"/>
  <c r="U64"/>
  <c r="V64"/>
  <c r="Z64"/>
  <c r="U108"/>
  <c r="V108"/>
  <c r="Z108"/>
  <c r="U76"/>
  <c r="V76"/>
  <c r="Z76"/>
  <c r="V229"/>
  <c r="P263"/>
  <c r="P265" s="1"/>
  <c r="P281" s="1"/>
  <c r="H263"/>
  <c r="H265" s="1"/>
  <c r="H281" s="1"/>
  <c r="W191"/>
  <c r="L263"/>
  <c r="L265" s="1"/>
  <c r="L281" s="1"/>
  <c r="M241"/>
  <c r="M242" s="1"/>
  <c r="M175"/>
  <c r="W172"/>
  <c r="W26"/>
  <c r="W15"/>
  <c r="W109"/>
  <c r="W66"/>
  <c r="W39"/>
  <c r="W42"/>
  <c r="W98"/>
  <c r="W96"/>
  <c r="W90"/>
  <c r="W88"/>
  <c r="W82"/>
  <c r="W114"/>
  <c r="W14"/>
  <c r="E413"/>
  <c r="E412"/>
  <c r="E411"/>
  <c r="E410"/>
  <c r="E409"/>
  <c r="E408"/>
  <c r="E407"/>
  <c r="E406"/>
  <c r="E405"/>
  <c r="E404"/>
  <c r="E403"/>
  <c r="E402"/>
  <c r="E401"/>
  <c r="E365"/>
  <c r="E360"/>
  <c r="E359"/>
  <c r="E358"/>
  <c r="E357"/>
  <c r="E356"/>
  <c r="E355"/>
  <c r="E354"/>
  <c r="E353"/>
  <c r="E352"/>
  <c r="E351"/>
  <c r="E350"/>
  <c r="E349"/>
  <c r="E348"/>
  <c r="E364"/>
  <c r="E363"/>
  <c r="E362"/>
  <c r="E399"/>
  <c r="E398"/>
  <c r="E397"/>
  <c r="E396"/>
  <c r="E395"/>
  <c r="E394"/>
  <c r="E393"/>
  <c r="E392"/>
  <c r="E391"/>
  <c r="E390"/>
  <c r="E389"/>
  <c r="E338"/>
  <c r="E386"/>
  <c r="E385"/>
  <c r="E384"/>
  <c r="E383"/>
  <c r="E382"/>
  <c r="E381"/>
  <c r="E380"/>
  <c r="E379"/>
  <c r="E378"/>
  <c r="E377"/>
  <c r="E376"/>
  <c r="E375"/>
  <c r="E374"/>
  <c r="E373"/>
  <c r="E346"/>
  <c r="E345"/>
  <c r="E344"/>
  <c r="E343"/>
  <c r="E342"/>
  <c r="E341"/>
  <c r="E340"/>
  <c r="E320"/>
  <c r="E319"/>
  <c r="E318"/>
  <c r="E317"/>
  <c r="E316"/>
  <c r="R315"/>
  <c r="N315"/>
  <c r="E324"/>
  <c r="E323"/>
  <c r="E322"/>
  <c r="S315"/>
  <c r="O315"/>
  <c r="K315"/>
  <c r="P315"/>
  <c r="L315"/>
  <c r="Q315"/>
  <c r="M315"/>
  <c r="Q327"/>
  <c r="M327"/>
  <c r="R327"/>
  <c r="N327"/>
  <c r="S327"/>
  <c r="O327"/>
  <c r="K327"/>
  <c r="P327"/>
  <c r="L327"/>
  <c r="Z198"/>
  <c r="U198"/>
  <c r="S204"/>
  <c r="V198"/>
  <c r="V204" s="1"/>
  <c r="W386"/>
  <c r="W385"/>
  <c r="W384"/>
  <c r="W383"/>
  <c r="W382"/>
  <c r="W381"/>
  <c r="W380"/>
  <c r="W379"/>
  <c r="W378"/>
  <c r="W377"/>
  <c r="W376"/>
  <c r="W375"/>
  <c r="W374"/>
  <c r="W373"/>
  <c r="W413"/>
  <c r="W412"/>
  <c r="W411"/>
  <c r="W410"/>
  <c r="W409"/>
  <c r="W408"/>
  <c r="W407"/>
  <c r="W406"/>
  <c r="W405"/>
  <c r="W404"/>
  <c r="W403"/>
  <c r="W402"/>
  <c r="W401"/>
  <c r="W363"/>
  <c r="W362"/>
  <c r="W399"/>
  <c r="W398"/>
  <c r="W397"/>
  <c r="W396"/>
  <c r="W395"/>
  <c r="W394"/>
  <c r="W393"/>
  <c r="W392"/>
  <c r="W391"/>
  <c r="W390"/>
  <c r="W389"/>
  <c r="W338"/>
  <c r="W346"/>
  <c r="W345"/>
  <c r="W344"/>
  <c r="W343"/>
  <c r="W342"/>
  <c r="W341"/>
  <c r="W340"/>
  <c r="W365"/>
  <c r="W364"/>
  <c r="W360"/>
  <c r="W359"/>
  <c r="W358"/>
  <c r="W357"/>
  <c r="W356"/>
  <c r="W355"/>
  <c r="W354"/>
  <c r="W353"/>
  <c r="W352"/>
  <c r="W351"/>
  <c r="W350"/>
  <c r="W349"/>
  <c r="W348"/>
  <c r="W324"/>
  <c r="W323"/>
  <c r="W322"/>
  <c r="J315"/>
  <c r="G315"/>
  <c r="H315"/>
  <c r="W320"/>
  <c r="W319"/>
  <c r="W318"/>
  <c r="W317"/>
  <c r="W316"/>
  <c r="Q387"/>
  <c r="M387"/>
  <c r="P387"/>
  <c r="L387"/>
  <c r="O387"/>
  <c r="R387"/>
  <c r="S387"/>
  <c r="K387"/>
  <c r="N387"/>
  <c r="P337"/>
  <c r="L337"/>
  <c r="Q337"/>
  <c r="M337"/>
  <c r="R337"/>
  <c r="N337"/>
  <c r="S337"/>
  <c r="O337"/>
  <c r="K337"/>
  <c r="U255"/>
  <c r="W250"/>
  <c r="W255" s="1"/>
  <c r="J332"/>
  <c r="G332"/>
  <c r="H332"/>
  <c r="H330"/>
  <c r="J330"/>
  <c r="G330"/>
  <c r="V166"/>
  <c r="U166"/>
  <c r="U25"/>
  <c r="W25" s="1"/>
  <c r="V25"/>
  <c r="Z25"/>
  <c r="K282"/>
  <c r="K293" s="1"/>
  <c r="K262"/>
  <c r="K263" s="1"/>
  <c r="K265" s="1"/>
  <c r="K281" s="1"/>
  <c r="I247"/>
  <c r="I257" s="1"/>
  <c r="I259" s="1"/>
  <c r="G247"/>
  <c r="G257" s="1"/>
  <c r="V164"/>
  <c r="U164"/>
  <c r="W164" s="1"/>
  <c r="V181"/>
  <c r="Z181"/>
  <c r="U181"/>
  <c r="U129"/>
  <c r="W129" s="1"/>
  <c r="V129"/>
  <c r="Z129"/>
  <c r="Z18"/>
  <c r="U18"/>
  <c r="W18" s="1"/>
  <c r="V18"/>
  <c r="Q282"/>
  <c r="Q262"/>
  <c r="J282"/>
  <c r="J293" s="1"/>
  <c r="J300" s="1"/>
  <c r="J262"/>
  <c r="J263" s="1"/>
  <c r="J265" s="1"/>
  <c r="J281" s="1"/>
  <c r="U167"/>
  <c r="V167"/>
  <c r="Z144"/>
  <c r="U144"/>
  <c r="W144" s="1"/>
  <c r="V144"/>
  <c r="Z185"/>
  <c r="U185"/>
  <c r="W185" s="1"/>
  <c r="V185"/>
  <c r="Z101"/>
  <c r="U101"/>
  <c r="V101"/>
  <c r="Z85"/>
  <c r="U85"/>
  <c r="V85"/>
  <c r="U17"/>
  <c r="W17" s="1"/>
  <c r="V17"/>
  <c r="Z17"/>
  <c r="U100"/>
  <c r="V100"/>
  <c r="Z100"/>
  <c r="U58"/>
  <c r="V58"/>
  <c r="Z58"/>
  <c r="W140"/>
  <c r="W226"/>
  <c r="W189"/>
  <c r="W154"/>
  <c r="O245"/>
  <c r="O247" s="1"/>
  <c r="O257" s="1"/>
  <c r="O259" s="1"/>
  <c r="W199"/>
  <c r="W186"/>
  <c r="W138"/>
  <c r="W227"/>
  <c r="W155"/>
  <c r="W128"/>
  <c r="R263"/>
  <c r="R265" s="1"/>
  <c r="R281" s="1"/>
  <c r="S326"/>
  <c r="W31"/>
  <c r="W72" i="10" l="1"/>
  <c r="W16"/>
  <c r="W19"/>
  <c r="W86"/>
  <c r="W70"/>
  <c r="W79"/>
  <c r="W103"/>
  <c r="W144"/>
  <c r="W76"/>
  <c r="W126"/>
  <c r="W15"/>
  <c r="W109"/>
  <c r="W99"/>
  <c r="W123"/>
  <c r="W148"/>
  <c r="W159"/>
  <c r="W77"/>
  <c r="W181"/>
  <c r="W189"/>
  <c r="W143"/>
  <c r="W184"/>
  <c r="W52"/>
  <c r="W105"/>
  <c r="W81"/>
  <c r="W131"/>
  <c r="W188"/>
  <c r="W224"/>
  <c r="W136"/>
  <c r="W153"/>
  <c r="W201"/>
  <c r="W50"/>
  <c r="W48"/>
  <c r="W55"/>
  <c r="W169"/>
  <c r="W111"/>
  <c r="W139"/>
  <c r="W180"/>
  <c r="W163"/>
  <c r="W71"/>
  <c r="W118"/>
  <c r="W95"/>
  <c r="W119"/>
  <c r="O290"/>
  <c r="O282"/>
  <c r="H290"/>
  <c r="H294" s="1"/>
  <c r="H282"/>
  <c r="L290"/>
  <c r="L282"/>
  <c r="K290"/>
  <c r="K294" s="1"/>
  <c r="K282"/>
  <c r="R290"/>
  <c r="R294" s="1"/>
  <c r="R282"/>
  <c r="S385"/>
  <c r="V36"/>
  <c r="U36"/>
  <c r="O292"/>
  <c r="P317"/>
  <c r="L317"/>
  <c r="Q317"/>
  <c r="M317"/>
  <c r="O317"/>
  <c r="R317"/>
  <c r="S317"/>
  <c r="K317"/>
  <c r="N317"/>
  <c r="P315"/>
  <c r="L315"/>
  <c r="Q315"/>
  <c r="M315"/>
  <c r="O315"/>
  <c r="R315"/>
  <c r="S315"/>
  <c r="K315"/>
  <c r="N315"/>
  <c r="O362"/>
  <c r="K362"/>
  <c r="P362"/>
  <c r="L362"/>
  <c r="Q362"/>
  <c r="R362"/>
  <c r="M362"/>
  <c r="P348"/>
  <c r="L348"/>
  <c r="Q348"/>
  <c r="M348"/>
  <c r="R348"/>
  <c r="N348"/>
  <c r="S348"/>
  <c r="O348"/>
  <c r="K348"/>
  <c r="P352"/>
  <c r="L352"/>
  <c r="Q352"/>
  <c r="M352"/>
  <c r="R352"/>
  <c r="N352"/>
  <c r="S352"/>
  <c r="O352"/>
  <c r="K352"/>
  <c r="P356"/>
  <c r="L356"/>
  <c r="Q356"/>
  <c r="R356"/>
  <c r="O356"/>
  <c r="K356"/>
  <c r="M356"/>
  <c r="Q339"/>
  <c r="R339"/>
  <c r="O339"/>
  <c r="K339"/>
  <c r="P339"/>
  <c r="L339"/>
  <c r="M339"/>
  <c r="Q343"/>
  <c r="M343"/>
  <c r="R343"/>
  <c r="N343"/>
  <c r="S343"/>
  <c r="O343"/>
  <c r="K343"/>
  <c r="P343"/>
  <c r="L343"/>
  <c r="R322"/>
  <c r="O322"/>
  <c r="K322"/>
  <c r="P322"/>
  <c r="L322"/>
  <c r="Q322"/>
  <c r="M322"/>
  <c r="O400"/>
  <c r="K400"/>
  <c r="P400"/>
  <c r="L400"/>
  <c r="Q400"/>
  <c r="R400"/>
  <c r="M400"/>
  <c r="S404"/>
  <c r="O404"/>
  <c r="K404"/>
  <c r="P404"/>
  <c r="L404"/>
  <c r="Q404"/>
  <c r="M404"/>
  <c r="R404"/>
  <c r="N404"/>
  <c r="O408"/>
  <c r="K408"/>
  <c r="P408"/>
  <c r="L408"/>
  <c r="Q408"/>
  <c r="R408"/>
  <c r="M408"/>
  <c r="O412"/>
  <c r="K412"/>
  <c r="P412"/>
  <c r="L412"/>
  <c r="Q412"/>
  <c r="R412"/>
  <c r="N412"/>
  <c r="P391"/>
  <c r="L391"/>
  <c r="Q391"/>
  <c r="M391"/>
  <c r="R391"/>
  <c r="N391"/>
  <c r="S391"/>
  <c r="O391"/>
  <c r="K391"/>
  <c r="P395"/>
  <c r="L395"/>
  <c r="Q395"/>
  <c r="M395"/>
  <c r="R395"/>
  <c r="N395"/>
  <c r="S395"/>
  <c r="O395"/>
  <c r="K395"/>
  <c r="Q372"/>
  <c r="R372"/>
  <c r="O372"/>
  <c r="K372"/>
  <c r="L372"/>
  <c r="P372"/>
  <c r="M372"/>
  <c r="Q376"/>
  <c r="R376"/>
  <c r="O376"/>
  <c r="K376"/>
  <c r="P376"/>
  <c r="L376"/>
  <c r="N376"/>
  <c r="M376"/>
  <c r="Q380"/>
  <c r="M380"/>
  <c r="R380"/>
  <c r="N380"/>
  <c r="S380"/>
  <c r="O380"/>
  <c r="K380"/>
  <c r="P380"/>
  <c r="L380"/>
  <c r="Q384"/>
  <c r="R384"/>
  <c r="O384"/>
  <c r="K384"/>
  <c r="P384"/>
  <c r="L384"/>
  <c r="M384"/>
  <c r="N384"/>
  <c r="V113"/>
  <c r="U113"/>
  <c r="S410"/>
  <c r="U82"/>
  <c r="V82"/>
  <c r="U110"/>
  <c r="V110"/>
  <c r="J260"/>
  <c r="J244"/>
  <c r="J246" s="1"/>
  <c r="J256" s="1"/>
  <c r="J258" s="1"/>
  <c r="U43"/>
  <c r="V43"/>
  <c r="U218"/>
  <c r="W207"/>
  <c r="W218" s="1"/>
  <c r="U332"/>
  <c r="I332"/>
  <c r="P281"/>
  <c r="P292" s="1"/>
  <c r="P261"/>
  <c r="S314"/>
  <c r="V101"/>
  <c r="U101"/>
  <c r="W101" s="1"/>
  <c r="S353"/>
  <c r="U59"/>
  <c r="W59" s="1"/>
  <c r="V59"/>
  <c r="J321"/>
  <c r="G321"/>
  <c r="H321"/>
  <c r="H315"/>
  <c r="J315"/>
  <c r="G315"/>
  <c r="G319"/>
  <c r="H319"/>
  <c r="J319"/>
  <c r="H348"/>
  <c r="J348"/>
  <c r="G348"/>
  <c r="H352"/>
  <c r="J352"/>
  <c r="G352"/>
  <c r="H356"/>
  <c r="J356"/>
  <c r="G356"/>
  <c r="J339"/>
  <c r="G339"/>
  <c r="H339"/>
  <c r="J343"/>
  <c r="G343"/>
  <c r="H343"/>
  <c r="G401"/>
  <c r="H401"/>
  <c r="J401"/>
  <c r="G405"/>
  <c r="H405"/>
  <c r="J405"/>
  <c r="G409"/>
  <c r="H409"/>
  <c r="J409"/>
  <c r="G363"/>
  <c r="H363"/>
  <c r="J363"/>
  <c r="H390"/>
  <c r="J390"/>
  <c r="G390"/>
  <c r="H394"/>
  <c r="J394"/>
  <c r="G394"/>
  <c r="H398"/>
  <c r="J398"/>
  <c r="G398"/>
  <c r="J375"/>
  <c r="G375"/>
  <c r="H375"/>
  <c r="J379"/>
  <c r="G379"/>
  <c r="H379"/>
  <c r="J383"/>
  <c r="G383"/>
  <c r="H383"/>
  <c r="S358"/>
  <c r="U170"/>
  <c r="V170"/>
  <c r="U195"/>
  <c r="W178"/>
  <c r="R335"/>
  <c r="N335"/>
  <c r="O335"/>
  <c r="K335"/>
  <c r="P335"/>
  <c r="L335"/>
  <c r="Q335"/>
  <c r="S335"/>
  <c r="M335"/>
  <c r="S400"/>
  <c r="W194"/>
  <c r="W132"/>
  <c r="W41"/>
  <c r="W26"/>
  <c r="W56"/>
  <c r="W203"/>
  <c r="W137"/>
  <c r="W167"/>
  <c r="S351"/>
  <c r="V18"/>
  <c r="U18"/>
  <c r="U125"/>
  <c r="V125"/>
  <c r="P316"/>
  <c r="L316"/>
  <c r="Q316"/>
  <c r="M316"/>
  <c r="O316"/>
  <c r="R316"/>
  <c r="S316"/>
  <c r="K316"/>
  <c r="N316"/>
  <c r="O361"/>
  <c r="K361"/>
  <c r="P361"/>
  <c r="L361"/>
  <c r="Q361"/>
  <c r="R361"/>
  <c r="M361"/>
  <c r="P347"/>
  <c r="L347"/>
  <c r="Q347"/>
  <c r="R347"/>
  <c r="O347"/>
  <c r="K347"/>
  <c r="N347"/>
  <c r="M347"/>
  <c r="P351"/>
  <c r="L351"/>
  <c r="Q351"/>
  <c r="R351"/>
  <c r="O351"/>
  <c r="K351"/>
  <c r="M351"/>
  <c r="P355"/>
  <c r="L355"/>
  <c r="Q355"/>
  <c r="R355"/>
  <c r="O355"/>
  <c r="K355"/>
  <c r="M355"/>
  <c r="P359"/>
  <c r="L359"/>
  <c r="Q359"/>
  <c r="M359"/>
  <c r="R359"/>
  <c r="N359"/>
  <c r="S359"/>
  <c r="O359"/>
  <c r="K359"/>
  <c r="Q342"/>
  <c r="M342"/>
  <c r="R342"/>
  <c r="N342"/>
  <c r="S342"/>
  <c r="O342"/>
  <c r="K342"/>
  <c r="P342"/>
  <c r="L342"/>
  <c r="R321"/>
  <c r="O321"/>
  <c r="K321"/>
  <c r="P321"/>
  <c r="L321"/>
  <c r="Q321"/>
  <c r="M321"/>
  <c r="Q364"/>
  <c r="P364"/>
  <c r="K364"/>
  <c r="R364"/>
  <c r="L364"/>
  <c r="O364"/>
  <c r="M364"/>
  <c r="N364"/>
  <c r="O403"/>
  <c r="K403"/>
  <c r="P403"/>
  <c r="L403"/>
  <c r="Q403"/>
  <c r="R403"/>
  <c r="M403"/>
  <c r="N403"/>
  <c r="O407"/>
  <c r="K407"/>
  <c r="P407"/>
  <c r="L407"/>
  <c r="Q407"/>
  <c r="R407"/>
  <c r="M407"/>
  <c r="S411"/>
  <c r="O411"/>
  <c r="K411"/>
  <c r="P411"/>
  <c r="L411"/>
  <c r="Q411"/>
  <c r="M411"/>
  <c r="R411"/>
  <c r="N411"/>
  <c r="P390"/>
  <c r="L390"/>
  <c r="Q390"/>
  <c r="R390"/>
  <c r="O390"/>
  <c r="K390"/>
  <c r="M390"/>
  <c r="N390"/>
  <c r="P394"/>
  <c r="L394"/>
  <c r="Q394"/>
  <c r="R394"/>
  <c r="O394"/>
  <c r="K394"/>
  <c r="M394"/>
  <c r="N394"/>
  <c r="P398"/>
  <c r="L398"/>
  <c r="Q398"/>
  <c r="R398"/>
  <c r="K398"/>
  <c r="N398"/>
  <c r="M398"/>
  <c r="O398"/>
  <c r="Q375"/>
  <c r="R375"/>
  <c r="O375"/>
  <c r="K375"/>
  <c r="L375"/>
  <c r="P375"/>
  <c r="M375"/>
  <c r="Q379"/>
  <c r="M379"/>
  <c r="R379"/>
  <c r="N379"/>
  <c r="S379"/>
  <c r="O379"/>
  <c r="K379"/>
  <c r="P379"/>
  <c r="L379"/>
  <c r="Q383"/>
  <c r="R383"/>
  <c r="O383"/>
  <c r="K383"/>
  <c r="P383"/>
  <c r="L383"/>
  <c r="M383"/>
  <c r="N383"/>
  <c r="U90"/>
  <c r="V90"/>
  <c r="U25"/>
  <c r="V25"/>
  <c r="U124"/>
  <c r="V124"/>
  <c r="S408"/>
  <c r="V93"/>
  <c r="U93"/>
  <c r="U102"/>
  <c r="V102"/>
  <c r="S322"/>
  <c r="U114"/>
  <c r="V114"/>
  <c r="W249"/>
  <c r="W254" s="1"/>
  <c r="U254"/>
  <c r="V78"/>
  <c r="U78"/>
  <c r="W78" s="1"/>
  <c r="W11"/>
  <c r="U150"/>
  <c r="W150" s="1"/>
  <c r="V150"/>
  <c r="S362"/>
  <c r="V117"/>
  <c r="U117"/>
  <c r="W117" s="1"/>
  <c r="S321"/>
  <c r="U84"/>
  <c r="W84" s="1"/>
  <c r="V84"/>
  <c r="U100"/>
  <c r="W100" s="1"/>
  <c r="V100"/>
  <c r="U120"/>
  <c r="W120" s="1"/>
  <c r="V120"/>
  <c r="J337"/>
  <c r="J324" s="1"/>
  <c r="G337"/>
  <c r="G324" s="1"/>
  <c r="H337"/>
  <c r="H324" s="1"/>
  <c r="G318"/>
  <c r="H318"/>
  <c r="J318"/>
  <c r="H347"/>
  <c r="J347"/>
  <c r="G347"/>
  <c r="H351"/>
  <c r="J351"/>
  <c r="G351"/>
  <c r="H355"/>
  <c r="J355"/>
  <c r="G355"/>
  <c r="H359"/>
  <c r="J359"/>
  <c r="G359"/>
  <c r="J342"/>
  <c r="G342"/>
  <c r="H342"/>
  <c r="G400"/>
  <c r="H400"/>
  <c r="J400"/>
  <c r="G404"/>
  <c r="H404"/>
  <c r="J404"/>
  <c r="G408"/>
  <c r="H408"/>
  <c r="J408"/>
  <c r="G412"/>
  <c r="H412"/>
  <c r="H389"/>
  <c r="J389"/>
  <c r="G389"/>
  <c r="H393"/>
  <c r="J393"/>
  <c r="G393"/>
  <c r="H397"/>
  <c r="J397"/>
  <c r="G397"/>
  <c r="J374"/>
  <c r="H374"/>
  <c r="G374"/>
  <c r="J378"/>
  <c r="G378"/>
  <c r="H378"/>
  <c r="J382"/>
  <c r="G382"/>
  <c r="H382"/>
  <c r="U83"/>
  <c r="V83"/>
  <c r="W164"/>
  <c r="W128"/>
  <c r="W21"/>
  <c r="W47"/>
  <c r="N355"/>
  <c r="S339"/>
  <c r="W67"/>
  <c r="W30"/>
  <c r="W60"/>
  <c r="W115"/>
  <c r="S375"/>
  <c r="W14"/>
  <c r="W87"/>
  <c r="S364"/>
  <c r="N400"/>
  <c r="N361"/>
  <c r="O319"/>
  <c r="K319"/>
  <c r="L319"/>
  <c r="Q319"/>
  <c r="R319"/>
  <c r="S319"/>
  <c r="P319"/>
  <c r="N319"/>
  <c r="M319"/>
  <c r="P350"/>
  <c r="L350"/>
  <c r="Q350"/>
  <c r="M350"/>
  <c r="R350"/>
  <c r="N350"/>
  <c r="S350"/>
  <c r="O350"/>
  <c r="K350"/>
  <c r="P354"/>
  <c r="L354"/>
  <c r="Q354"/>
  <c r="M354"/>
  <c r="R354"/>
  <c r="N354"/>
  <c r="S354"/>
  <c r="O354"/>
  <c r="K354"/>
  <c r="P358"/>
  <c r="L358"/>
  <c r="Q358"/>
  <c r="R358"/>
  <c r="O358"/>
  <c r="K358"/>
  <c r="M358"/>
  <c r="Q341"/>
  <c r="M341"/>
  <c r="R341"/>
  <c r="N341"/>
  <c r="S341"/>
  <c r="O341"/>
  <c r="K341"/>
  <c r="P341"/>
  <c r="L341"/>
  <c r="Q345"/>
  <c r="R345"/>
  <c r="O345"/>
  <c r="K345"/>
  <c r="P345"/>
  <c r="L345"/>
  <c r="M345"/>
  <c r="N345"/>
  <c r="R337"/>
  <c r="N337"/>
  <c r="S337"/>
  <c r="O337"/>
  <c r="K337"/>
  <c r="P337"/>
  <c r="L337"/>
  <c r="Q337"/>
  <c r="M337"/>
  <c r="S402"/>
  <c r="O402"/>
  <c r="K402"/>
  <c r="P402"/>
  <c r="L402"/>
  <c r="Q402"/>
  <c r="M402"/>
  <c r="R402"/>
  <c r="N402"/>
  <c r="O406"/>
  <c r="K406"/>
  <c r="P406"/>
  <c r="L406"/>
  <c r="Q406"/>
  <c r="R406"/>
  <c r="M406"/>
  <c r="N406"/>
  <c r="O410"/>
  <c r="K410"/>
  <c r="P410"/>
  <c r="L410"/>
  <c r="Q410"/>
  <c r="R410"/>
  <c r="M410"/>
  <c r="P389"/>
  <c r="L389"/>
  <c r="Q389"/>
  <c r="M389"/>
  <c r="R389"/>
  <c r="N389"/>
  <c r="S389"/>
  <c r="O389"/>
  <c r="K389"/>
  <c r="P393"/>
  <c r="L393"/>
  <c r="Q393"/>
  <c r="M393"/>
  <c r="R393"/>
  <c r="N393"/>
  <c r="S393"/>
  <c r="O393"/>
  <c r="K393"/>
  <c r="P397"/>
  <c r="L397"/>
  <c r="Q397"/>
  <c r="R397"/>
  <c r="O397"/>
  <c r="K397"/>
  <c r="N397"/>
  <c r="M397"/>
  <c r="Q374"/>
  <c r="R374"/>
  <c r="O374"/>
  <c r="K374"/>
  <c r="L374"/>
  <c r="P374"/>
  <c r="M374"/>
  <c r="Q378"/>
  <c r="M378"/>
  <c r="R378"/>
  <c r="N378"/>
  <c r="S378"/>
  <c r="O378"/>
  <c r="K378"/>
  <c r="P378"/>
  <c r="L378"/>
  <c r="Q382"/>
  <c r="M382"/>
  <c r="R382"/>
  <c r="N382"/>
  <c r="S382"/>
  <c r="O382"/>
  <c r="K382"/>
  <c r="P382"/>
  <c r="L382"/>
  <c r="Q292"/>
  <c r="Q294" s="1"/>
  <c r="Q282"/>
  <c r="S407"/>
  <c r="U69"/>
  <c r="V69"/>
  <c r="W199"/>
  <c r="W204" s="1"/>
  <c r="U204"/>
  <c r="I246"/>
  <c r="I256" s="1"/>
  <c r="I258" s="1"/>
  <c r="G246"/>
  <c r="G256" s="1"/>
  <c r="V66"/>
  <c r="U66"/>
  <c r="W66" s="1"/>
  <c r="J323"/>
  <c r="G323"/>
  <c r="H323"/>
  <c r="H317"/>
  <c r="G317"/>
  <c r="J317"/>
  <c r="G362"/>
  <c r="H362"/>
  <c r="J362"/>
  <c r="H350"/>
  <c r="J350"/>
  <c r="G350"/>
  <c r="H354"/>
  <c r="J354"/>
  <c r="G354"/>
  <c r="H358"/>
  <c r="J358"/>
  <c r="G358"/>
  <c r="J341"/>
  <c r="G341"/>
  <c r="H341"/>
  <c r="J345"/>
  <c r="G345"/>
  <c r="H345"/>
  <c r="G403"/>
  <c r="H403"/>
  <c r="J403"/>
  <c r="G407"/>
  <c r="H407"/>
  <c r="J407"/>
  <c r="G411"/>
  <c r="H411"/>
  <c r="J411"/>
  <c r="H388"/>
  <c r="J388"/>
  <c r="G388"/>
  <c r="H392"/>
  <c r="J392"/>
  <c r="G392"/>
  <c r="H396"/>
  <c r="J396"/>
  <c r="G396"/>
  <c r="J373"/>
  <c r="G373"/>
  <c r="H373"/>
  <c r="J377"/>
  <c r="G377"/>
  <c r="H377"/>
  <c r="J381"/>
  <c r="G381"/>
  <c r="H381"/>
  <c r="J385"/>
  <c r="G385"/>
  <c r="H385"/>
  <c r="U331"/>
  <c r="I331"/>
  <c r="V22"/>
  <c r="V32" s="1"/>
  <c r="U22"/>
  <c r="W22" s="1"/>
  <c r="V97"/>
  <c r="U97"/>
  <c r="Q386"/>
  <c r="R386"/>
  <c r="O386"/>
  <c r="K386"/>
  <c r="P386"/>
  <c r="L386"/>
  <c r="N386"/>
  <c r="S386"/>
  <c r="M386"/>
  <c r="W20"/>
  <c r="W46"/>
  <c r="W37"/>
  <c r="W116"/>
  <c r="N410"/>
  <c r="W145"/>
  <c r="W179"/>
  <c r="W190"/>
  <c r="Z36"/>
  <c r="S356"/>
  <c r="S406"/>
  <c r="W62"/>
  <c r="W183"/>
  <c r="W80"/>
  <c r="W162"/>
  <c r="W91"/>
  <c r="I314"/>
  <c r="W127"/>
  <c r="W152"/>
  <c r="W133"/>
  <c r="W186"/>
  <c r="W42"/>
  <c r="W45"/>
  <c r="S376"/>
  <c r="W96"/>
  <c r="W168"/>
  <c r="W187"/>
  <c r="W23"/>
  <c r="S175"/>
  <c r="W185"/>
  <c r="U272"/>
  <c r="W182"/>
  <c r="P262"/>
  <c r="P264" s="1"/>
  <c r="P280" s="1"/>
  <c r="S409"/>
  <c r="W29"/>
  <c r="W40"/>
  <c r="W74"/>
  <c r="V195"/>
  <c r="W192"/>
  <c r="W154"/>
  <c r="Z83"/>
  <c r="N339"/>
  <c r="O318"/>
  <c r="K318"/>
  <c r="K313" s="1"/>
  <c r="P318"/>
  <c r="P313" s="1"/>
  <c r="L318"/>
  <c r="Q318"/>
  <c r="Q313" s="1"/>
  <c r="R318"/>
  <c r="R313" s="1"/>
  <c r="M318"/>
  <c r="N318"/>
  <c r="N313" s="1"/>
  <c r="Q363"/>
  <c r="M363"/>
  <c r="P363"/>
  <c r="K363"/>
  <c r="R363"/>
  <c r="L363"/>
  <c r="S363"/>
  <c r="N363"/>
  <c r="O363"/>
  <c r="P349"/>
  <c r="L349"/>
  <c r="Q349"/>
  <c r="M349"/>
  <c r="R349"/>
  <c r="N349"/>
  <c r="S349"/>
  <c r="O349"/>
  <c r="K349"/>
  <c r="P353"/>
  <c r="L353"/>
  <c r="Q353"/>
  <c r="R353"/>
  <c r="O353"/>
  <c r="K353"/>
  <c r="M353"/>
  <c r="P357"/>
  <c r="L357"/>
  <c r="Q357"/>
  <c r="R357"/>
  <c r="O357"/>
  <c r="K357"/>
  <c r="M357"/>
  <c r="Q340"/>
  <c r="R340"/>
  <c r="O340"/>
  <c r="K340"/>
  <c r="P340"/>
  <c r="L340"/>
  <c r="M340"/>
  <c r="Q344"/>
  <c r="M344"/>
  <c r="R344"/>
  <c r="N344"/>
  <c r="S344"/>
  <c r="O344"/>
  <c r="K344"/>
  <c r="P344"/>
  <c r="L344"/>
  <c r="R323"/>
  <c r="N323"/>
  <c r="S323"/>
  <c r="O323"/>
  <c r="K323"/>
  <c r="P323"/>
  <c r="L323"/>
  <c r="Q323"/>
  <c r="M323"/>
  <c r="S401"/>
  <c r="O401"/>
  <c r="K401"/>
  <c r="P401"/>
  <c r="L401"/>
  <c r="Q401"/>
  <c r="M401"/>
  <c r="R401"/>
  <c r="N401"/>
  <c r="S405"/>
  <c r="O405"/>
  <c r="K405"/>
  <c r="P405"/>
  <c r="L405"/>
  <c r="Q405"/>
  <c r="M405"/>
  <c r="R405"/>
  <c r="N405"/>
  <c r="O409"/>
  <c r="K409"/>
  <c r="P409"/>
  <c r="L409"/>
  <c r="Q409"/>
  <c r="R409"/>
  <c r="M409"/>
  <c r="P388"/>
  <c r="L388"/>
  <c r="Q388"/>
  <c r="R388"/>
  <c r="O388"/>
  <c r="K388"/>
  <c r="N388"/>
  <c r="M388"/>
  <c r="P392"/>
  <c r="L392"/>
  <c r="Q392"/>
  <c r="M392"/>
  <c r="R392"/>
  <c r="N392"/>
  <c r="S392"/>
  <c r="O392"/>
  <c r="K392"/>
  <c r="P396"/>
  <c r="L396"/>
  <c r="Q396"/>
  <c r="M396"/>
  <c r="R396"/>
  <c r="N396"/>
  <c r="S396"/>
  <c r="O396"/>
  <c r="K396"/>
  <c r="Q373"/>
  <c r="M373"/>
  <c r="R373"/>
  <c r="N373"/>
  <c r="S373"/>
  <c r="O373"/>
  <c r="K373"/>
  <c r="L373"/>
  <c r="P373"/>
  <c r="Q377"/>
  <c r="M377"/>
  <c r="R377"/>
  <c r="N377"/>
  <c r="S377"/>
  <c r="O377"/>
  <c r="K377"/>
  <c r="P377"/>
  <c r="L377"/>
  <c r="Q381"/>
  <c r="M381"/>
  <c r="R381"/>
  <c r="N381"/>
  <c r="S381"/>
  <c r="O381"/>
  <c r="K381"/>
  <c r="P381"/>
  <c r="L381"/>
  <c r="Q385"/>
  <c r="R385"/>
  <c r="O385"/>
  <c r="K385"/>
  <c r="P385"/>
  <c r="L385"/>
  <c r="M385"/>
  <c r="S355"/>
  <c r="U98"/>
  <c r="W98" s="1"/>
  <c r="V98"/>
  <c r="N289"/>
  <c r="N260"/>
  <c r="N291"/>
  <c r="N244"/>
  <c r="N246" s="1"/>
  <c r="N256" s="1"/>
  <c r="N258" s="1"/>
  <c r="L292"/>
  <c r="S222"/>
  <c r="Z222" s="1"/>
  <c r="M412"/>
  <c r="M229"/>
  <c r="S357"/>
  <c r="U166"/>
  <c r="V166"/>
  <c r="V89"/>
  <c r="U89"/>
  <c r="W89" s="1"/>
  <c r="S372"/>
  <c r="U108"/>
  <c r="W108" s="1"/>
  <c r="V108"/>
  <c r="U258"/>
  <c r="W257"/>
  <c r="W258" s="1"/>
  <c r="V44"/>
  <c r="U44"/>
  <c r="W35"/>
  <c r="U92"/>
  <c r="V92"/>
  <c r="U112"/>
  <c r="V112"/>
  <c r="J322"/>
  <c r="G322"/>
  <c r="H322"/>
  <c r="H316"/>
  <c r="H313" s="1"/>
  <c r="G316"/>
  <c r="J316"/>
  <c r="J313" s="1"/>
  <c r="G361"/>
  <c r="G360" s="1"/>
  <c r="H361"/>
  <c r="H360" s="1"/>
  <c r="J361"/>
  <c r="J360" s="1"/>
  <c r="H349"/>
  <c r="J349"/>
  <c r="G349"/>
  <c r="H353"/>
  <c r="J353"/>
  <c r="G353"/>
  <c r="H357"/>
  <c r="J357"/>
  <c r="G357"/>
  <c r="J340"/>
  <c r="G340"/>
  <c r="H340"/>
  <c r="J344"/>
  <c r="G344"/>
  <c r="H344"/>
  <c r="G402"/>
  <c r="H402"/>
  <c r="J402"/>
  <c r="G406"/>
  <c r="H406"/>
  <c r="J406"/>
  <c r="G410"/>
  <c r="H410"/>
  <c r="J410"/>
  <c r="G364"/>
  <c r="H364"/>
  <c r="J364"/>
  <c r="H391"/>
  <c r="J391"/>
  <c r="G391"/>
  <c r="H395"/>
  <c r="J395"/>
  <c r="G395"/>
  <c r="J372"/>
  <c r="G372"/>
  <c r="H372"/>
  <c r="J376"/>
  <c r="G376"/>
  <c r="H376"/>
  <c r="J380"/>
  <c r="G380"/>
  <c r="H380"/>
  <c r="J384"/>
  <c r="G384"/>
  <c r="H384"/>
  <c r="S340"/>
  <c r="U106"/>
  <c r="V106"/>
  <c r="R336"/>
  <c r="N336"/>
  <c r="O336"/>
  <c r="K336"/>
  <c r="K324" s="1"/>
  <c r="P336"/>
  <c r="L336"/>
  <c r="Q336"/>
  <c r="S336"/>
  <c r="S324" s="1"/>
  <c r="M336"/>
  <c r="M324" s="1"/>
  <c r="L313"/>
  <c r="O313"/>
  <c r="W121"/>
  <c r="W13"/>
  <c r="W39"/>
  <c r="W73"/>
  <c r="Z113"/>
  <c r="Z82"/>
  <c r="Z110"/>
  <c r="W12"/>
  <c r="W68"/>
  <c r="W49"/>
  <c r="W104"/>
  <c r="N408"/>
  <c r="Z43"/>
  <c r="N322"/>
  <c r="N320" s="1"/>
  <c r="W191"/>
  <c r="S361"/>
  <c r="S360" s="1"/>
  <c r="S398"/>
  <c r="S32"/>
  <c r="S33" s="1"/>
  <c r="S384"/>
  <c r="N362"/>
  <c r="G313"/>
  <c r="W272"/>
  <c r="S374"/>
  <c r="N358"/>
  <c r="S345"/>
  <c r="N372"/>
  <c r="N356"/>
  <c r="S219"/>
  <c r="N374"/>
  <c r="Z18"/>
  <c r="W100" i="8"/>
  <c r="W181"/>
  <c r="W166"/>
  <c r="W64"/>
  <c r="W169"/>
  <c r="W116"/>
  <c r="W162"/>
  <c r="W62"/>
  <c r="W117"/>
  <c r="W95"/>
  <c r="W124"/>
  <c r="K291"/>
  <c r="K295" s="1"/>
  <c r="K283"/>
  <c r="J291"/>
  <c r="J283"/>
  <c r="J316"/>
  <c r="G316"/>
  <c r="H316"/>
  <c r="J320"/>
  <c r="G320"/>
  <c r="H320"/>
  <c r="J322"/>
  <c r="G322"/>
  <c r="H322"/>
  <c r="J349"/>
  <c r="G349"/>
  <c r="H349"/>
  <c r="J353"/>
  <c r="G353"/>
  <c r="H353"/>
  <c r="J357"/>
  <c r="G357"/>
  <c r="H357"/>
  <c r="J364"/>
  <c r="G364"/>
  <c r="H364"/>
  <c r="G342"/>
  <c r="H342"/>
  <c r="J342"/>
  <c r="G346"/>
  <c r="H346"/>
  <c r="J346"/>
  <c r="H391"/>
  <c r="G391"/>
  <c r="J391"/>
  <c r="H395"/>
  <c r="G395"/>
  <c r="J395"/>
  <c r="H399"/>
  <c r="G399"/>
  <c r="J399"/>
  <c r="G402"/>
  <c r="J402"/>
  <c r="H402"/>
  <c r="G406"/>
  <c r="J406"/>
  <c r="H406"/>
  <c r="G410"/>
  <c r="J410"/>
  <c r="H410"/>
  <c r="H373"/>
  <c r="G373"/>
  <c r="J373"/>
  <c r="H377"/>
  <c r="G377"/>
  <c r="J377"/>
  <c r="H381"/>
  <c r="G381"/>
  <c r="J381"/>
  <c r="H385"/>
  <c r="G385"/>
  <c r="J385"/>
  <c r="U204"/>
  <c r="W198"/>
  <c r="W204" s="1"/>
  <c r="Q324"/>
  <c r="M324"/>
  <c r="R324"/>
  <c r="N324"/>
  <c r="S324"/>
  <c r="O324"/>
  <c r="K324"/>
  <c r="P324"/>
  <c r="L324"/>
  <c r="R317"/>
  <c r="N317"/>
  <c r="S317"/>
  <c r="O317"/>
  <c r="K317"/>
  <c r="P317"/>
  <c r="L317"/>
  <c r="Q317"/>
  <c r="M317"/>
  <c r="S340"/>
  <c r="O340"/>
  <c r="K340"/>
  <c r="P340"/>
  <c r="L340"/>
  <c r="Q340"/>
  <c r="M340"/>
  <c r="R340"/>
  <c r="N340"/>
  <c r="S344"/>
  <c r="O344"/>
  <c r="K344"/>
  <c r="P344"/>
  <c r="L344"/>
  <c r="Q344"/>
  <c r="M344"/>
  <c r="R344"/>
  <c r="N344"/>
  <c r="Q374"/>
  <c r="M374"/>
  <c r="P374"/>
  <c r="L374"/>
  <c r="O374"/>
  <c r="R374"/>
  <c r="S374"/>
  <c r="K374"/>
  <c r="N374"/>
  <c r="Q378"/>
  <c r="M378"/>
  <c r="P378"/>
  <c r="L378"/>
  <c r="O378"/>
  <c r="R378"/>
  <c r="S378"/>
  <c r="K378"/>
  <c r="N378"/>
  <c r="Q382"/>
  <c r="M382"/>
  <c r="P382"/>
  <c r="L382"/>
  <c r="O382"/>
  <c r="R382"/>
  <c r="S382"/>
  <c r="K382"/>
  <c r="N382"/>
  <c r="Q386"/>
  <c r="M386"/>
  <c r="P386"/>
  <c r="L386"/>
  <c r="O386"/>
  <c r="R386"/>
  <c r="S386"/>
  <c r="K386"/>
  <c r="N386"/>
  <c r="P391"/>
  <c r="L391"/>
  <c r="S391"/>
  <c r="O391"/>
  <c r="K391"/>
  <c r="R391"/>
  <c r="M391"/>
  <c r="N391"/>
  <c r="Q391"/>
  <c r="P395"/>
  <c r="L395"/>
  <c r="S395"/>
  <c r="O395"/>
  <c r="K395"/>
  <c r="R395"/>
  <c r="M395"/>
  <c r="N395"/>
  <c r="Q395"/>
  <c r="P399"/>
  <c r="L399"/>
  <c r="S399"/>
  <c r="O399"/>
  <c r="K399"/>
  <c r="R399"/>
  <c r="M399"/>
  <c r="N399"/>
  <c r="Q399"/>
  <c r="R348"/>
  <c r="N348"/>
  <c r="S348"/>
  <c r="O348"/>
  <c r="K348"/>
  <c r="P348"/>
  <c r="L348"/>
  <c r="Q348"/>
  <c r="M348"/>
  <c r="R352"/>
  <c r="N352"/>
  <c r="S352"/>
  <c r="O352"/>
  <c r="K352"/>
  <c r="P352"/>
  <c r="L352"/>
  <c r="Q352"/>
  <c r="M352"/>
  <c r="R356"/>
  <c r="N356"/>
  <c r="J356"/>
  <c r="S356"/>
  <c r="O356"/>
  <c r="K356"/>
  <c r="G356"/>
  <c r="P356"/>
  <c r="L356"/>
  <c r="H356"/>
  <c r="Q356"/>
  <c r="M356"/>
  <c r="U356" s="1"/>
  <c r="I356"/>
  <c r="R360"/>
  <c r="N360"/>
  <c r="S360"/>
  <c r="O360"/>
  <c r="K360"/>
  <c r="P360"/>
  <c r="L360"/>
  <c r="Q360"/>
  <c r="M360"/>
  <c r="S403"/>
  <c r="O403"/>
  <c r="K403"/>
  <c r="R403"/>
  <c r="N403"/>
  <c r="M403"/>
  <c r="P403"/>
  <c r="Q403"/>
  <c r="L403"/>
  <c r="S407"/>
  <c r="O407"/>
  <c r="K407"/>
  <c r="R407"/>
  <c r="N407"/>
  <c r="M407"/>
  <c r="P407"/>
  <c r="Q407"/>
  <c r="L407"/>
  <c r="S411"/>
  <c r="O411"/>
  <c r="K411"/>
  <c r="R411"/>
  <c r="N411"/>
  <c r="M411"/>
  <c r="P411"/>
  <c r="Q411"/>
  <c r="L411"/>
  <c r="L283"/>
  <c r="L291"/>
  <c r="Z218"/>
  <c r="S219"/>
  <c r="W11"/>
  <c r="U32"/>
  <c r="S176"/>
  <c r="Z175"/>
  <c r="U195"/>
  <c r="W178"/>
  <c r="W229"/>
  <c r="W71"/>
  <c r="W53"/>
  <c r="W120"/>
  <c r="W83"/>
  <c r="W150"/>
  <c r="W103"/>
  <c r="W91"/>
  <c r="Z241"/>
  <c r="O282"/>
  <c r="O262"/>
  <c r="U337"/>
  <c r="I337"/>
  <c r="J319"/>
  <c r="G319"/>
  <c r="H319"/>
  <c r="J348"/>
  <c r="G348"/>
  <c r="H348"/>
  <c r="J352"/>
  <c r="G352"/>
  <c r="H352"/>
  <c r="J360"/>
  <c r="G360"/>
  <c r="H360"/>
  <c r="G341"/>
  <c r="H341"/>
  <c r="J341"/>
  <c r="G345"/>
  <c r="H345"/>
  <c r="J345"/>
  <c r="H390"/>
  <c r="G390"/>
  <c r="J390"/>
  <c r="H394"/>
  <c r="G394"/>
  <c r="J394"/>
  <c r="H398"/>
  <c r="G398"/>
  <c r="J398"/>
  <c r="G401"/>
  <c r="J401"/>
  <c r="H401"/>
  <c r="G405"/>
  <c r="J405"/>
  <c r="H405"/>
  <c r="G409"/>
  <c r="J409"/>
  <c r="H409"/>
  <c r="G413"/>
  <c r="J413"/>
  <c r="H413"/>
  <c r="H376"/>
  <c r="G376"/>
  <c r="J376"/>
  <c r="H380"/>
  <c r="G380"/>
  <c r="J380"/>
  <c r="H384"/>
  <c r="G384"/>
  <c r="J384"/>
  <c r="S205"/>
  <c r="Z204"/>
  <c r="U315"/>
  <c r="I315"/>
  <c r="Q323"/>
  <c r="M323"/>
  <c r="R323"/>
  <c r="N323"/>
  <c r="S323"/>
  <c r="O323"/>
  <c r="K323"/>
  <c r="P323"/>
  <c r="L323"/>
  <c r="R316"/>
  <c r="N316"/>
  <c r="S316"/>
  <c r="O316"/>
  <c r="K316"/>
  <c r="P316"/>
  <c r="L316"/>
  <c r="Q316"/>
  <c r="M316"/>
  <c r="R320"/>
  <c r="N320"/>
  <c r="S320"/>
  <c r="O320"/>
  <c r="K320"/>
  <c r="P320"/>
  <c r="L320"/>
  <c r="Q320"/>
  <c r="M320"/>
  <c r="S343"/>
  <c r="O343"/>
  <c r="K343"/>
  <c r="P343"/>
  <c r="L343"/>
  <c r="Q343"/>
  <c r="M343"/>
  <c r="R343"/>
  <c r="N343"/>
  <c r="Q373"/>
  <c r="M373"/>
  <c r="P373"/>
  <c r="L373"/>
  <c r="O373"/>
  <c r="R373"/>
  <c r="S373"/>
  <c r="K373"/>
  <c r="N373"/>
  <c r="Q377"/>
  <c r="M377"/>
  <c r="P377"/>
  <c r="L377"/>
  <c r="O377"/>
  <c r="R377"/>
  <c r="S377"/>
  <c r="K377"/>
  <c r="N377"/>
  <c r="Q381"/>
  <c r="M381"/>
  <c r="P381"/>
  <c r="L381"/>
  <c r="O381"/>
  <c r="R381"/>
  <c r="S381"/>
  <c r="K381"/>
  <c r="N381"/>
  <c r="Q385"/>
  <c r="M385"/>
  <c r="P385"/>
  <c r="L385"/>
  <c r="O385"/>
  <c r="R385"/>
  <c r="S385"/>
  <c r="K385"/>
  <c r="N385"/>
  <c r="P390"/>
  <c r="L390"/>
  <c r="S390"/>
  <c r="O390"/>
  <c r="K390"/>
  <c r="R390"/>
  <c r="M390"/>
  <c r="N390"/>
  <c r="Q390"/>
  <c r="P394"/>
  <c r="L394"/>
  <c r="S394"/>
  <c r="O394"/>
  <c r="K394"/>
  <c r="R394"/>
  <c r="M394"/>
  <c r="N394"/>
  <c r="Q394"/>
  <c r="P398"/>
  <c r="L398"/>
  <c r="S398"/>
  <c r="O398"/>
  <c r="K398"/>
  <c r="R398"/>
  <c r="M398"/>
  <c r="N398"/>
  <c r="Q398"/>
  <c r="P364"/>
  <c r="L364"/>
  <c r="S364"/>
  <c r="O364"/>
  <c r="N364"/>
  <c r="Q364"/>
  <c r="R364"/>
  <c r="K364"/>
  <c r="M364"/>
  <c r="R351"/>
  <c r="N351"/>
  <c r="S351"/>
  <c r="O351"/>
  <c r="K351"/>
  <c r="P351"/>
  <c r="L351"/>
  <c r="Q351"/>
  <c r="M351"/>
  <c r="R355"/>
  <c r="N355"/>
  <c r="S355"/>
  <c r="O355"/>
  <c r="K355"/>
  <c r="P355"/>
  <c r="L355"/>
  <c r="Q355"/>
  <c r="M355"/>
  <c r="R359"/>
  <c r="N359"/>
  <c r="S359"/>
  <c r="O359"/>
  <c r="K359"/>
  <c r="P359"/>
  <c r="L359"/>
  <c r="Q359"/>
  <c r="M359"/>
  <c r="S402"/>
  <c r="O402"/>
  <c r="K402"/>
  <c r="R402"/>
  <c r="N402"/>
  <c r="M402"/>
  <c r="P402"/>
  <c r="Q402"/>
  <c r="L402"/>
  <c r="S406"/>
  <c r="O406"/>
  <c r="K406"/>
  <c r="R406"/>
  <c r="N406"/>
  <c r="M406"/>
  <c r="P406"/>
  <c r="Q406"/>
  <c r="L406"/>
  <c r="S410"/>
  <c r="O410"/>
  <c r="K410"/>
  <c r="R410"/>
  <c r="N410"/>
  <c r="M410"/>
  <c r="P410"/>
  <c r="Q410"/>
  <c r="L410"/>
  <c r="P283"/>
  <c r="P291"/>
  <c r="P295" s="1"/>
  <c r="V32"/>
  <c r="U333"/>
  <c r="I333"/>
  <c r="U175"/>
  <c r="W35"/>
  <c r="Z195"/>
  <c r="S196"/>
  <c r="W168"/>
  <c r="W22"/>
  <c r="S242"/>
  <c r="I282"/>
  <c r="I293" s="1"/>
  <c r="I262"/>
  <c r="I263" s="1"/>
  <c r="I265" s="1"/>
  <c r="I281" s="1"/>
  <c r="R291"/>
  <c r="R295" s="1"/>
  <c r="R283"/>
  <c r="Q293"/>
  <c r="Q295" s="1"/>
  <c r="Q283"/>
  <c r="M257"/>
  <c r="G259"/>
  <c r="I387"/>
  <c r="U387"/>
  <c r="J318"/>
  <c r="G318"/>
  <c r="H318"/>
  <c r="J324"/>
  <c r="G324"/>
  <c r="H324"/>
  <c r="J351"/>
  <c r="G351"/>
  <c r="H351"/>
  <c r="J355"/>
  <c r="G355"/>
  <c r="H355"/>
  <c r="J359"/>
  <c r="G359"/>
  <c r="H359"/>
  <c r="G340"/>
  <c r="H340"/>
  <c r="J340"/>
  <c r="G344"/>
  <c r="H344"/>
  <c r="J344"/>
  <c r="H389"/>
  <c r="G389"/>
  <c r="J389"/>
  <c r="H393"/>
  <c r="G393"/>
  <c r="J393"/>
  <c r="H397"/>
  <c r="G397"/>
  <c r="J397"/>
  <c r="J363"/>
  <c r="G363"/>
  <c r="H363"/>
  <c r="G404"/>
  <c r="J404"/>
  <c r="H404"/>
  <c r="G408"/>
  <c r="J408"/>
  <c r="H408"/>
  <c r="G412"/>
  <c r="J412"/>
  <c r="H412"/>
  <c r="H375"/>
  <c r="G375"/>
  <c r="J375"/>
  <c r="H379"/>
  <c r="G379"/>
  <c r="J379"/>
  <c r="H383"/>
  <c r="G383"/>
  <c r="J383"/>
  <c r="Q322"/>
  <c r="Q321" s="1"/>
  <c r="M322"/>
  <c r="R322"/>
  <c r="R321" s="1"/>
  <c r="N322"/>
  <c r="N321" s="1"/>
  <c r="S322"/>
  <c r="S321" s="1"/>
  <c r="O322"/>
  <c r="O321" s="1"/>
  <c r="K322"/>
  <c r="K321" s="1"/>
  <c r="P322"/>
  <c r="P321" s="1"/>
  <c r="L322"/>
  <c r="L321" s="1"/>
  <c r="R319"/>
  <c r="N319"/>
  <c r="S319"/>
  <c r="O319"/>
  <c r="K319"/>
  <c r="P319"/>
  <c r="L319"/>
  <c r="Q319"/>
  <c r="M319"/>
  <c r="S342"/>
  <c r="O342"/>
  <c r="K342"/>
  <c r="P342"/>
  <c r="L342"/>
  <c r="Q342"/>
  <c r="M342"/>
  <c r="R342"/>
  <c r="N342"/>
  <c r="S346"/>
  <c r="O346"/>
  <c r="K346"/>
  <c r="P346"/>
  <c r="L346"/>
  <c r="Q346"/>
  <c r="M346"/>
  <c r="R346"/>
  <c r="N346"/>
  <c r="Q376"/>
  <c r="M376"/>
  <c r="P376"/>
  <c r="L376"/>
  <c r="O376"/>
  <c r="R376"/>
  <c r="S376"/>
  <c r="K376"/>
  <c r="N376"/>
  <c r="Q380"/>
  <c r="M380"/>
  <c r="P380"/>
  <c r="L380"/>
  <c r="O380"/>
  <c r="R380"/>
  <c r="S380"/>
  <c r="K380"/>
  <c r="N380"/>
  <c r="Q384"/>
  <c r="M384"/>
  <c r="P384"/>
  <c r="L384"/>
  <c r="O384"/>
  <c r="R384"/>
  <c r="S384"/>
  <c r="K384"/>
  <c r="N384"/>
  <c r="P389"/>
  <c r="L389"/>
  <c r="S389"/>
  <c r="O389"/>
  <c r="K389"/>
  <c r="R389"/>
  <c r="M389"/>
  <c r="N389"/>
  <c r="Q389"/>
  <c r="P393"/>
  <c r="L393"/>
  <c r="S393"/>
  <c r="O393"/>
  <c r="K393"/>
  <c r="R393"/>
  <c r="M393"/>
  <c r="N393"/>
  <c r="Q393"/>
  <c r="P397"/>
  <c r="L397"/>
  <c r="S397"/>
  <c r="O397"/>
  <c r="K397"/>
  <c r="R397"/>
  <c r="M397"/>
  <c r="N397"/>
  <c r="Q397"/>
  <c r="Q363"/>
  <c r="M363"/>
  <c r="R363"/>
  <c r="N363"/>
  <c r="S363"/>
  <c r="O363"/>
  <c r="K363"/>
  <c r="P363"/>
  <c r="L363"/>
  <c r="R350"/>
  <c r="N350"/>
  <c r="S350"/>
  <c r="O350"/>
  <c r="K350"/>
  <c r="P350"/>
  <c r="L350"/>
  <c r="Q350"/>
  <c r="M350"/>
  <c r="R354"/>
  <c r="N354"/>
  <c r="S354"/>
  <c r="O354"/>
  <c r="K354"/>
  <c r="P354"/>
  <c r="L354"/>
  <c r="Q354"/>
  <c r="M354"/>
  <c r="R358"/>
  <c r="N358"/>
  <c r="S358"/>
  <c r="O358"/>
  <c r="K358"/>
  <c r="P358"/>
  <c r="L358"/>
  <c r="Q358"/>
  <c r="M358"/>
  <c r="S401"/>
  <c r="O401"/>
  <c r="K401"/>
  <c r="R401"/>
  <c r="N401"/>
  <c r="M401"/>
  <c r="P401"/>
  <c r="Q401"/>
  <c r="L401"/>
  <c r="S405"/>
  <c r="O405"/>
  <c r="K405"/>
  <c r="R405"/>
  <c r="N405"/>
  <c r="M405"/>
  <c r="P405"/>
  <c r="Q405"/>
  <c r="L405"/>
  <c r="S409"/>
  <c r="O409"/>
  <c r="K409"/>
  <c r="R409"/>
  <c r="N409"/>
  <c r="M409"/>
  <c r="P409"/>
  <c r="Q409"/>
  <c r="L409"/>
  <c r="S413"/>
  <c r="O413"/>
  <c r="K413"/>
  <c r="R413"/>
  <c r="N413"/>
  <c r="M413"/>
  <c r="P413"/>
  <c r="Q413"/>
  <c r="L413"/>
  <c r="M176"/>
  <c r="M261"/>
  <c r="M245"/>
  <c r="M247" s="1"/>
  <c r="H283"/>
  <c r="H291"/>
  <c r="H295" s="1"/>
  <c r="W207"/>
  <c r="W218" s="1"/>
  <c r="U218"/>
  <c r="U332"/>
  <c r="I332"/>
  <c r="N292"/>
  <c r="N245"/>
  <c r="N247" s="1"/>
  <c r="N257" s="1"/>
  <c r="N259" s="1"/>
  <c r="N290"/>
  <c r="N261"/>
  <c r="L293"/>
  <c r="W58"/>
  <c r="W85"/>
  <c r="W167"/>
  <c r="W76"/>
  <c r="W69"/>
  <c r="W184"/>
  <c r="W160"/>
  <c r="W43"/>
  <c r="O263"/>
  <c r="O265" s="1"/>
  <c r="O281" s="1"/>
  <c r="W112"/>
  <c r="W59"/>
  <c r="W149"/>
  <c r="W104"/>
  <c r="V175"/>
  <c r="V283" s="1"/>
  <c r="W89"/>
  <c r="W159"/>
  <c r="V195"/>
  <c r="W273"/>
  <c r="J317"/>
  <c r="J314" s="1"/>
  <c r="G317"/>
  <c r="G314" s="1"/>
  <c r="H317"/>
  <c r="J323"/>
  <c r="G323"/>
  <c r="H323"/>
  <c r="J350"/>
  <c r="G350"/>
  <c r="H350"/>
  <c r="J354"/>
  <c r="G354"/>
  <c r="H354"/>
  <c r="J358"/>
  <c r="G358"/>
  <c r="H358"/>
  <c r="H365"/>
  <c r="G365"/>
  <c r="J365"/>
  <c r="G343"/>
  <c r="H343"/>
  <c r="J343"/>
  <c r="H338"/>
  <c r="H325" s="1"/>
  <c r="J338"/>
  <c r="J325" s="1"/>
  <c r="G338"/>
  <c r="G325" s="1"/>
  <c r="H392"/>
  <c r="G392"/>
  <c r="J392"/>
  <c r="H396"/>
  <c r="G396"/>
  <c r="J396"/>
  <c r="J362"/>
  <c r="J361" s="1"/>
  <c r="G362"/>
  <c r="G361" s="1"/>
  <c r="H362"/>
  <c r="H361" s="1"/>
  <c r="G403"/>
  <c r="J403"/>
  <c r="H403"/>
  <c r="G407"/>
  <c r="J407"/>
  <c r="H407"/>
  <c r="G411"/>
  <c r="J411"/>
  <c r="H411"/>
  <c r="H374"/>
  <c r="G374"/>
  <c r="J374"/>
  <c r="H378"/>
  <c r="G378"/>
  <c r="J378"/>
  <c r="H382"/>
  <c r="G382"/>
  <c r="J382"/>
  <c r="H386"/>
  <c r="G386"/>
  <c r="J386"/>
  <c r="I327"/>
  <c r="U327"/>
  <c r="R318"/>
  <c r="R314" s="1"/>
  <c r="N318"/>
  <c r="S318"/>
  <c r="O318"/>
  <c r="K318"/>
  <c r="K314" s="1"/>
  <c r="P318"/>
  <c r="P314" s="1"/>
  <c r="L318"/>
  <c r="Q318"/>
  <c r="M318"/>
  <c r="S341"/>
  <c r="O341"/>
  <c r="K341"/>
  <c r="P341"/>
  <c r="L341"/>
  <c r="Q341"/>
  <c r="M341"/>
  <c r="R341"/>
  <c r="N341"/>
  <c r="S345"/>
  <c r="O345"/>
  <c r="K345"/>
  <c r="P345"/>
  <c r="L345"/>
  <c r="Q345"/>
  <c r="M345"/>
  <c r="R345"/>
  <c r="N345"/>
  <c r="Q375"/>
  <c r="M375"/>
  <c r="P375"/>
  <c r="L375"/>
  <c r="O375"/>
  <c r="R375"/>
  <c r="S375"/>
  <c r="K375"/>
  <c r="N375"/>
  <c r="Q379"/>
  <c r="M379"/>
  <c r="P379"/>
  <c r="L379"/>
  <c r="O379"/>
  <c r="R379"/>
  <c r="S379"/>
  <c r="K379"/>
  <c r="N379"/>
  <c r="Q383"/>
  <c r="M383"/>
  <c r="P383"/>
  <c r="L383"/>
  <c r="O383"/>
  <c r="R383"/>
  <c r="S383"/>
  <c r="K383"/>
  <c r="N383"/>
  <c r="P338"/>
  <c r="P325" s="1"/>
  <c r="L338"/>
  <c r="L325" s="1"/>
  <c r="Q338"/>
  <c r="Q325" s="1"/>
  <c r="M338"/>
  <c r="M325" s="1"/>
  <c r="R338"/>
  <c r="R325" s="1"/>
  <c r="N338"/>
  <c r="N325" s="1"/>
  <c r="S338"/>
  <c r="S325" s="1"/>
  <c r="O338"/>
  <c r="O325" s="1"/>
  <c r="K338"/>
  <c r="K325" s="1"/>
  <c r="P392"/>
  <c r="L392"/>
  <c r="S392"/>
  <c r="O392"/>
  <c r="K392"/>
  <c r="R392"/>
  <c r="M392"/>
  <c r="N392"/>
  <c r="Q392"/>
  <c r="P396"/>
  <c r="L396"/>
  <c r="S396"/>
  <c r="O396"/>
  <c r="K396"/>
  <c r="R396"/>
  <c r="M396"/>
  <c r="N396"/>
  <c r="Q396"/>
  <c r="Q362"/>
  <c r="Q361" s="1"/>
  <c r="M362"/>
  <c r="R362"/>
  <c r="R361" s="1"/>
  <c r="N362"/>
  <c r="N361" s="1"/>
  <c r="S362"/>
  <c r="S361" s="1"/>
  <c r="O362"/>
  <c r="O361" s="1"/>
  <c r="K362"/>
  <c r="K361" s="1"/>
  <c r="P362"/>
  <c r="P361" s="1"/>
  <c r="L362"/>
  <c r="L361" s="1"/>
  <c r="R349"/>
  <c r="N349"/>
  <c r="S349"/>
  <c r="O349"/>
  <c r="K349"/>
  <c r="P349"/>
  <c r="L349"/>
  <c r="Q349"/>
  <c r="M349"/>
  <c r="R353"/>
  <c r="N353"/>
  <c r="S353"/>
  <c r="O353"/>
  <c r="K353"/>
  <c r="P353"/>
  <c r="L353"/>
  <c r="Q353"/>
  <c r="M353"/>
  <c r="R357"/>
  <c r="N357"/>
  <c r="S357"/>
  <c r="O357"/>
  <c r="K357"/>
  <c r="P357"/>
  <c r="L357"/>
  <c r="Q357"/>
  <c r="M357"/>
  <c r="P365"/>
  <c r="L365"/>
  <c r="S365"/>
  <c r="O365"/>
  <c r="K365"/>
  <c r="N365"/>
  <c r="Q365"/>
  <c r="R365"/>
  <c r="M365"/>
  <c r="S404"/>
  <c r="O404"/>
  <c r="K404"/>
  <c r="R404"/>
  <c r="N404"/>
  <c r="M404"/>
  <c r="P404"/>
  <c r="Q404"/>
  <c r="L404"/>
  <c r="S408"/>
  <c r="O408"/>
  <c r="K408"/>
  <c r="R408"/>
  <c r="N408"/>
  <c r="M408"/>
  <c r="P408"/>
  <c r="Q408"/>
  <c r="L408"/>
  <c r="S412"/>
  <c r="O412"/>
  <c r="K412"/>
  <c r="R412"/>
  <c r="N412"/>
  <c r="M412"/>
  <c r="P412"/>
  <c r="Q412"/>
  <c r="L412"/>
  <c r="S290"/>
  <c r="S292"/>
  <c r="S261"/>
  <c r="S245"/>
  <c r="Z32"/>
  <c r="S33"/>
  <c r="U330"/>
  <c r="I330"/>
  <c r="U336"/>
  <c r="I336"/>
  <c r="W101"/>
  <c r="H314"/>
  <c r="L314"/>
  <c r="S314"/>
  <c r="N314"/>
  <c r="W108"/>
  <c r="W97"/>
  <c r="W133"/>
  <c r="W180"/>
  <c r="W125"/>
  <c r="W80"/>
  <c r="W93"/>
  <c r="W36"/>
  <c r="W38"/>
  <c r="W113"/>
  <c r="U273"/>
  <c r="W92" i="10" l="1"/>
  <c r="S371"/>
  <c r="W166"/>
  <c r="S346"/>
  <c r="P324"/>
  <c r="N324"/>
  <c r="V175"/>
  <c r="L324"/>
  <c r="W93"/>
  <c r="W69"/>
  <c r="S387"/>
  <c r="Q324"/>
  <c r="O324"/>
  <c r="W102"/>
  <c r="S313"/>
  <c r="W43"/>
  <c r="W36"/>
  <c r="W106"/>
  <c r="G371"/>
  <c r="U412"/>
  <c r="I412"/>
  <c r="I381"/>
  <c r="U381"/>
  <c r="U401"/>
  <c r="I401"/>
  <c r="U357"/>
  <c r="I357"/>
  <c r="I281"/>
  <c r="I292" s="1"/>
  <c r="I261"/>
  <c r="I262" s="1"/>
  <c r="I264" s="1"/>
  <c r="I280" s="1"/>
  <c r="I378"/>
  <c r="U378"/>
  <c r="U402"/>
  <c r="I402"/>
  <c r="I383"/>
  <c r="U383"/>
  <c r="I375"/>
  <c r="U375"/>
  <c r="U398"/>
  <c r="I398"/>
  <c r="U394"/>
  <c r="I394"/>
  <c r="U390"/>
  <c r="I390"/>
  <c r="U407"/>
  <c r="I407"/>
  <c r="U403"/>
  <c r="I403"/>
  <c r="I364"/>
  <c r="U364"/>
  <c r="U359"/>
  <c r="I359"/>
  <c r="U355"/>
  <c r="I355"/>
  <c r="U335"/>
  <c r="I335"/>
  <c r="I324" s="1"/>
  <c r="U322"/>
  <c r="I322"/>
  <c r="I339"/>
  <c r="M338"/>
  <c r="U339"/>
  <c r="U348"/>
  <c r="I348"/>
  <c r="U362"/>
  <c r="I362"/>
  <c r="U315"/>
  <c r="I315"/>
  <c r="M313"/>
  <c r="K416"/>
  <c r="L416"/>
  <c r="H416"/>
  <c r="N371"/>
  <c r="H371"/>
  <c r="K387"/>
  <c r="L387"/>
  <c r="N338"/>
  <c r="J387"/>
  <c r="N399"/>
  <c r="G399"/>
  <c r="S320"/>
  <c r="W25"/>
  <c r="Q320"/>
  <c r="O320"/>
  <c r="K346"/>
  <c r="L346"/>
  <c r="Q360"/>
  <c r="O360"/>
  <c r="W18"/>
  <c r="R324"/>
  <c r="W170"/>
  <c r="G338"/>
  <c r="W82"/>
  <c r="K371"/>
  <c r="L399"/>
  <c r="O338"/>
  <c r="U336"/>
  <c r="I336"/>
  <c r="M244"/>
  <c r="M260"/>
  <c r="N281"/>
  <c r="N292" s="1"/>
  <c r="N261"/>
  <c r="U405"/>
  <c r="I405"/>
  <c r="U323"/>
  <c r="I323"/>
  <c r="I344"/>
  <c r="U344"/>
  <c r="U353"/>
  <c r="I353"/>
  <c r="U349"/>
  <c r="I349"/>
  <c r="Z175"/>
  <c r="G258"/>
  <c r="M256"/>
  <c r="I382"/>
  <c r="U382"/>
  <c r="U389"/>
  <c r="I389"/>
  <c r="U410"/>
  <c r="I410"/>
  <c r="U406"/>
  <c r="I406"/>
  <c r="U337"/>
  <c r="I337"/>
  <c r="I341"/>
  <c r="U341"/>
  <c r="M320"/>
  <c r="U321"/>
  <c r="I321"/>
  <c r="I320" s="1"/>
  <c r="U351"/>
  <c r="I351"/>
  <c r="J281"/>
  <c r="J292" s="1"/>
  <c r="J299" s="1"/>
  <c r="J261"/>
  <c r="J262" s="1"/>
  <c r="J264" s="1"/>
  <c r="J280" s="1"/>
  <c r="I380"/>
  <c r="U380"/>
  <c r="U356"/>
  <c r="I356"/>
  <c r="U352"/>
  <c r="I352"/>
  <c r="W44"/>
  <c r="N387"/>
  <c r="Q387"/>
  <c r="W97"/>
  <c r="G387"/>
  <c r="N360"/>
  <c r="W83"/>
  <c r="H399"/>
  <c r="H346"/>
  <c r="W32"/>
  <c r="K320"/>
  <c r="N346"/>
  <c r="Q346"/>
  <c r="R360"/>
  <c r="K360"/>
  <c r="W125"/>
  <c r="H338"/>
  <c r="J320"/>
  <c r="L371"/>
  <c r="L413" s="1"/>
  <c r="Q371"/>
  <c r="Q413" s="1"/>
  <c r="Q399"/>
  <c r="O399"/>
  <c r="K338"/>
  <c r="O294"/>
  <c r="I385"/>
  <c r="U385"/>
  <c r="I373"/>
  <c r="U373"/>
  <c r="U392"/>
  <c r="I392"/>
  <c r="U388"/>
  <c r="I388"/>
  <c r="M387"/>
  <c r="U409"/>
  <c r="I409"/>
  <c r="I363"/>
  <c r="U363"/>
  <c r="I386"/>
  <c r="U386"/>
  <c r="Q416"/>
  <c r="I374"/>
  <c r="U374"/>
  <c r="U393"/>
  <c r="I393"/>
  <c r="U350"/>
  <c r="I350"/>
  <c r="U319"/>
  <c r="I319"/>
  <c r="I379"/>
  <c r="U379"/>
  <c r="U347"/>
  <c r="I347"/>
  <c r="M346"/>
  <c r="M360"/>
  <c r="U361"/>
  <c r="I361"/>
  <c r="U316"/>
  <c r="I316"/>
  <c r="U391"/>
  <c r="I391"/>
  <c r="U404"/>
  <c r="I404"/>
  <c r="I343"/>
  <c r="U343"/>
  <c r="R416"/>
  <c r="O416"/>
  <c r="J371"/>
  <c r="W112"/>
  <c r="U175"/>
  <c r="R387"/>
  <c r="S338"/>
  <c r="J399"/>
  <c r="J346"/>
  <c r="U32"/>
  <c r="W114"/>
  <c r="W124"/>
  <c r="W90"/>
  <c r="P320"/>
  <c r="R346"/>
  <c r="P360"/>
  <c r="G320"/>
  <c r="M230"/>
  <c r="W110"/>
  <c r="W113"/>
  <c r="P371"/>
  <c r="R371"/>
  <c r="R413" s="1"/>
  <c r="R399"/>
  <c r="K399"/>
  <c r="P338"/>
  <c r="Q338"/>
  <c r="S291"/>
  <c r="S289"/>
  <c r="G413"/>
  <c r="S229"/>
  <c r="S230" s="1"/>
  <c r="V222"/>
  <c r="V229" s="1"/>
  <c r="U222"/>
  <c r="S412"/>
  <c r="I377"/>
  <c r="U377"/>
  <c r="U396"/>
  <c r="I396"/>
  <c r="I340"/>
  <c r="U340"/>
  <c r="U318"/>
  <c r="I318"/>
  <c r="P290"/>
  <c r="P294" s="1"/>
  <c r="P282"/>
  <c r="U397"/>
  <c r="I397"/>
  <c r="I345"/>
  <c r="U345"/>
  <c r="U358"/>
  <c r="I358"/>
  <c r="U354"/>
  <c r="I354"/>
  <c r="U411"/>
  <c r="I411"/>
  <c r="I342"/>
  <c r="U342"/>
  <c r="I384"/>
  <c r="U384"/>
  <c r="I376"/>
  <c r="U376"/>
  <c r="I372"/>
  <c r="U372"/>
  <c r="M371"/>
  <c r="U395"/>
  <c r="I395"/>
  <c r="U408"/>
  <c r="I408"/>
  <c r="M399"/>
  <c r="U400"/>
  <c r="I400"/>
  <c r="I399" s="1"/>
  <c r="U317"/>
  <c r="I317"/>
  <c r="Z32"/>
  <c r="N262"/>
  <c r="N264" s="1"/>
  <c r="N280" s="1"/>
  <c r="O387"/>
  <c r="P387"/>
  <c r="H387"/>
  <c r="G346"/>
  <c r="L320"/>
  <c r="R320"/>
  <c r="R365" s="1"/>
  <c r="R368" s="1"/>
  <c r="R415" s="1"/>
  <c r="O346"/>
  <c r="O365" s="1"/>
  <c r="O368" s="1"/>
  <c r="P346"/>
  <c r="L360"/>
  <c r="S399"/>
  <c r="W195"/>
  <c r="J338"/>
  <c r="J365" s="1"/>
  <c r="J368" s="1"/>
  <c r="H320"/>
  <c r="H365" s="1"/>
  <c r="H368" s="1"/>
  <c r="O371"/>
  <c r="P399"/>
  <c r="L338"/>
  <c r="R338"/>
  <c r="L294"/>
  <c r="U283" i="8"/>
  <c r="W283" s="1"/>
  <c r="Q314"/>
  <c r="O314"/>
  <c r="U341"/>
  <c r="I341"/>
  <c r="I413"/>
  <c r="U413"/>
  <c r="U393"/>
  <c r="I393"/>
  <c r="I380"/>
  <c r="U380"/>
  <c r="G282"/>
  <c r="G293" s="1"/>
  <c r="G262"/>
  <c r="G263" s="1"/>
  <c r="G265" s="1"/>
  <c r="G281" s="1"/>
  <c r="R417"/>
  <c r="R288"/>
  <c r="I406"/>
  <c r="U406"/>
  <c r="U355"/>
  <c r="I355"/>
  <c r="I373"/>
  <c r="U373"/>
  <c r="M372"/>
  <c r="U343"/>
  <c r="I343"/>
  <c r="U316"/>
  <c r="I316"/>
  <c r="I323"/>
  <c r="U323"/>
  <c r="I411"/>
  <c r="U411"/>
  <c r="U360"/>
  <c r="I360"/>
  <c r="U391"/>
  <c r="I391"/>
  <c r="I378"/>
  <c r="U378"/>
  <c r="J417"/>
  <c r="J289"/>
  <c r="L400"/>
  <c r="N400"/>
  <c r="S400"/>
  <c r="N388"/>
  <c r="O388"/>
  <c r="H388"/>
  <c r="J339"/>
  <c r="W175"/>
  <c r="R372"/>
  <c r="M314"/>
  <c r="Q347"/>
  <c r="O347"/>
  <c r="N339"/>
  <c r="L339"/>
  <c r="S339"/>
  <c r="H372"/>
  <c r="I404"/>
  <c r="U404"/>
  <c r="U353"/>
  <c r="I353"/>
  <c r="I408"/>
  <c r="U408"/>
  <c r="U357"/>
  <c r="I357"/>
  <c r="I375"/>
  <c r="U375"/>
  <c r="U345"/>
  <c r="I345"/>
  <c r="U318"/>
  <c r="I318"/>
  <c r="M400"/>
  <c r="I401"/>
  <c r="U401"/>
  <c r="U350"/>
  <c r="I350"/>
  <c r="I363"/>
  <c r="U363"/>
  <c r="U397"/>
  <c r="I397"/>
  <c r="I384"/>
  <c r="U384"/>
  <c r="P417"/>
  <c r="I410"/>
  <c r="U410"/>
  <c r="U359"/>
  <c r="I359"/>
  <c r="U390"/>
  <c r="I390"/>
  <c r="I377"/>
  <c r="U377"/>
  <c r="U320"/>
  <c r="I320"/>
  <c r="L417"/>
  <c r="M347"/>
  <c r="U348"/>
  <c r="I348"/>
  <c r="U395"/>
  <c r="I395"/>
  <c r="I382"/>
  <c r="U382"/>
  <c r="O400"/>
  <c r="Q388"/>
  <c r="K388"/>
  <c r="P388"/>
  <c r="G388"/>
  <c r="S372"/>
  <c r="P372"/>
  <c r="G400"/>
  <c r="J347"/>
  <c r="K347"/>
  <c r="R347"/>
  <c r="Q339"/>
  <c r="Q366" s="1"/>
  <c r="Q369" s="1"/>
  <c r="O339"/>
  <c r="O366" s="1"/>
  <c r="O369" s="1"/>
  <c r="G372"/>
  <c r="J321"/>
  <c r="J366" s="1"/>
  <c r="J369" s="1"/>
  <c r="Z245"/>
  <c r="S247"/>
  <c r="Z247" s="1"/>
  <c r="Z261"/>
  <c r="I412"/>
  <c r="U412"/>
  <c r="U365"/>
  <c r="I365"/>
  <c r="U392"/>
  <c r="I392"/>
  <c r="U338"/>
  <c r="I338"/>
  <c r="I325" s="1"/>
  <c r="I379"/>
  <c r="U379"/>
  <c r="O291"/>
  <c r="O295" s="1"/>
  <c r="O283"/>
  <c r="N282"/>
  <c r="N293" s="1"/>
  <c r="N262"/>
  <c r="N263" s="1"/>
  <c r="N265" s="1"/>
  <c r="N281" s="1"/>
  <c r="I405"/>
  <c r="U405"/>
  <c r="U354"/>
  <c r="I354"/>
  <c r="U342"/>
  <c r="I342"/>
  <c r="Q417"/>
  <c r="U364"/>
  <c r="I364"/>
  <c r="U394"/>
  <c r="I394"/>
  <c r="I381"/>
  <c r="U381"/>
  <c r="O293"/>
  <c r="I403"/>
  <c r="U403"/>
  <c r="U352"/>
  <c r="I352"/>
  <c r="U399"/>
  <c r="I399"/>
  <c r="I386"/>
  <c r="U386"/>
  <c r="M339"/>
  <c r="U340"/>
  <c r="I340"/>
  <c r="K417"/>
  <c r="P400"/>
  <c r="K400"/>
  <c r="R388"/>
  <c r="L388"/>
  <c r="J388"/>
  <c r="G339"/>
  <c r="K372"/>
  <c r="L372"/>
  <c r="L414" s="1"/>
  <c r="J400"/>
  <c r="G347"/>
  <c r="W32"/>
  <c r="L295"/>
  <c r="P347"/>
  <c r="N347"/>
  <c r="N366" s="1"/>
  <c r="N369" s="1"/>
  <c r="K339"/>
  <c r="K366" s="1"/>
  <c r="K369" s="1"/>
  <c r="J372"/>
  <c r="J414" s="1"/>
  <c r="G321"/>
  <c r="U349"/>
  <c r="I349"/>
  <c r="I362"/>
  <c r="I361" s="1"/>
  <c r="M361"/>
  <c r="U362"/>
  <c r="U396"/>
  <c r="I396"/>
  <c r="I383"/>
  <c r="U383"/>
  <c r="H417"/>
  <c r="I409"/>
  <c r="U409"/>
  <c r="U358"/>
  <c r="I358"/>
  <c r="U389"/>
  <c r="M388"/>
  <c r="I389"/>
  <c r="I376"/>
  <c r="U376"/>
  <c r="U346"/>
  <c r="I346"/>
  <c r="U319"/>
  <c r="I319"/>
  <c r="I322"/>
  <c r="M321"/>
  <c r="U322"/>
  <c r="S257"/>
  <c r="S259" s="1"/>
  <c r="M259"/>
  <c r="I283"/>
  <c r="I291"/>
  <c r="I295" s="1"/>
  <c r="I402"/>
  <c r="U402"/>
  <c r="U351"/>
  <c r="I351"/>
  <c r="U398"/>
  <c r="I398"/>
  <c r="I385"/>
  <c r="U385"/>
  <c r="I407"/>
  <c r="U407"/>
  <c r="I374"/>
  <c r="U374"/>
  <c r="U344"/>
  <c r="I344"/>
  <c r="U317"/>
  <c r="U416" s="1"/>
  <c r="I317"/>
  <c r="I314" s="1"/>
  <c r="I324"/>
  <c r="U324"/>
  <c r="J299"/>
  <c r="J295"/>
  <c r="Q400"/>
  <c r="R400"/>
  <c r="S388"/>
  <c r="H339"/>
  <c r="N372"/>
  <c r="N414" s="1"/>
  <c r="O372"/>
  <c r="O414" s="1"/>
  <c r="Q372"/>
  <c r="Q414" s="1"/>
  <c r="H400"/>
  <c r="H347"/>
  <c r="W195"/>
  <c r="L347"/>
  <c r="L366" s="1"/>
  <c r="L369" s="1"/>
  <c r="L416" s="1"/>
  <c r="S347"/>
  <c r="R339"/>
  <c r="R366" s="1"/>
  <c r="R369" s="1"/>
  <c r="P339"/>
  <c r="P366" s="1"/>
  <c r="P369" s="1"/>
  <c r="H321"/>
  <c r="H366" s="1"/>
  <c r="H369" s="1"/>
  <c r="K413" i="10" l="1"/>
  <c r="P365"/>
  <c r="P368" s="1"/>
  <c r="I313"/>
  <c r="Q365"/>
  <c r="Q368" s="1"/>
  <c r="Q415" s="1"/>
  <c r="L365"/>
  <c r="L368" s="1"/>
  <c r="L415" s="1"/>
  <c r="J413"/>
  <c r="J415" s="1"/>
  <c r="K365"/>
  <c r="K368" s="1"/>
  <c r="K415" s="1"/>
  <c r="I371"/>
  <c r="W175"/>
  <c r="N365"/>
  <c r="N368" s="1"/>
  <c r="J290"/>
  <c r="J282"/>
  <c r="G281"/>
  <c r="G292" s="1"/>
  <c r="G261"/>
  <c r="G262" s="1"/>
  <c r="G264" s="1"/>
  <c r="G280" s="1"/>
  <c r="M246"/>
  <c r="S244"/>
  <c r="S246" s="1"/>
  <c r="G365"/>
  <c r="G368" s="1"/>
  <c r="G415" s="1"/>
  <c r="P416"/>
  <c r="S256"/>
  <c r="S258" s="1"/>
  <c r="M258"/>
  <c r="I290"/>
  <c r="I294" s="1"/>
  <c r="I282"/>
  <c r="I360"/>
  <c r="I346"/>
  <c r="V282"/>
  <c r="K417"/>
  <c r="U415"/>
  <c r="W222"/>
  <c r="W229" s="1"/>
  <c r="U229"/>
  <c r="U282" s="1"/>
  <c r="W282" s="1"/>
  <c r="M413"/>
  <c r="Q417"/>
  <c r="I387"/>
  <c r="I413" s="1"/>
  <c r="Z229"/>
  <c r="N413"/>
  <c r="N415" s="1"/>
  <c r="I338"/>
  <c r="I365" s="1"/>
  <c r="I368" s="1"/>
  <c r="N290"/>
  <c r="N294" s="1"/>
  <c r="N282"/>
  <c r="O413"/>
  <c r="O415" s="1"/>
  <c r="O417" s="1"/>
  <c r="S365"/>
  <c r="S368" s="1"/>
  <c r="S413"/>
  <c r="S260"/>
  <c r="P413"/>
  <c r="P415" s="1"/>
  <c r="R417"/>
  <c r="H413"/>
  <c r="H415" s="1"/>
  <c r="H417" s="1"/>
  <c r="L417"/>
  <c r="M365"/>
  <c r="M368" s="1"/>
  <c r="M415" s="1"/>
  <c r="I321" i="8"/>
  <c r="J416"/>
  <c r="N416"/>
  <c r="Q416"/>
  <c r="O416"/>
  <c r="N291"/>
  <c r="N295" s="1"/>
  <c r="N283"/>
  <c r="G291"/>
  <c r="G295" s="1"/>
  <c r="G283"/>
  <c r="I400"/>
  <c r="H414"/>
  <c r="H416" s="1"/>
  <c r="H418" s="1"/>
  <c r="R414"/>
  <c r="R416" s="1"/>
  <c r="R418" s="1"/>
  <c r="S282"/>
  <c r="S262"/>
  <c r="Z259"/>
  <c r="S414"/>
  <c r="I339"/>
  <c r="M366"/>
  <c r="M369" s="1"/>
  <c r="J418"/>
  <c r="M414"/>
  <c r="G366"/>
  <c r="G369" s="1"/>
  <c r="M282"/>
  <c r="M293" s="1"/>
  <c r="M262"/>
  <c r="M263" s="1"/>
  <c r="M265" s="1"/>
  <c r="M281" s="1"/>
  <c r="O417"/>
  <c r="O418" s="1"/>
  <c r="G414"/>
  <c r="P414"/>
  <c r="P416" s="1"/>
  <c r="P418" s="1"/>
  <c r="I347"/>
  <c r="S366"/>
  <c r="S369" s="1"/>
  <c r="S416" s="1"/>
  <c r="I417"/>
  <c r="I388"/>
  <c r="K414"/>
  <c r="K416" s="1"/>
  <c r="K418" s="1"/>
  <c r="Q418"/>
  <c r="L418"/>
  <c r="I372"/>
  <c r="I415" i="10" l="1"/>
  <c r="Z246"/>
  <c r="I416"/>
  <c r="I417" s="1"/>
  <c r="M281"/>
  <c r="M261"/>
  <c r="Z258"/>
  <c r="P417"/>
  <c r="J298"/>
  <c r="J294"/>
  <c r="Z244"/>
  <c r="N416"/>
  <c r="N417" s="1"/>
  <c r="J416"/>
  <c r="J417" s="1"/>
  <c r="S415"/>
  <c r="Z260"/>
  <c r="S281"/>
  <c r="S261"/>
  <c r="S262" s="1"/>
  <c r="S264" s="1"/>
  <c r="S280" s="1"/>
  <c r="G290"/>
  <c r="G294" s="1"/>
  <c r="G282"/>
  <c r="I366" i="8"/>
  <c r="I369" s="1"/>
  <c r="M416"/>
  <c r="Z262"/>
  <c r="S263"/>
  <c r="G416"/>
  <c r="M283"/>
  <c r="M417" s="1"/>
  <c r="M418" s="1"/>
  <c r="M291"/>
  <c r="M295" s="1"/>
  <c r="G417"/>
  <c r="N417"/>
  <c r="N418" s="1"/>
  <c r="Z282"/>
  <c r="S293"/>
  <c r="S300" s="1"/>
  <c r="I414"/>
  <c r="I416" s="1"/>
  <c r="I418" s="1"/>
  <c r="S290" i="10" l="1"/>
  <c r="S282"/>
  <c r="G416"/>
  <c r="G417" s="1"/>
  <c r="S292"/>
  <c r="S299" s="1"/>
  <c r="Z281"/>
  <c r="M292"/>
  <c r="Z261"/>
  <c r="M262"/>
  <c r="G418" i="8"/>
  <c r="M421"/>
  <c r="M423"/>
  <c r="M422"/>
  <c r="S265"/>
  <c r="Z263"/>
  <c r="Z262" i="10" l="1"/>
  <c r="M264"/>
  <c r="S298"/>
  <c r="S294"/>
  <c r="S416"/>
  <c r="S417" s="1"/>
  <c r="W283"/>
  <c r="W284"/>
  <c r="Z265" i="8"/>
  <c r="S281"/>
  <c r="S295" i="10" l="1"/>
  <c r="S296"/>
  <c r="M280"/>
  <c r="Z264"/>
  <c r="Z281" i="8"/>
  <c r="S291"/>
  <c r="S283"/>
  <c r="M290" i="10" l="1"/>
  <c r="M294" s="1"/>
  <c r="M282"/>
  <c r="Z280"/>
  <c r="S299" i="8"/>
  <c r="S295"/>
  <c r="S417"/>
  <c r="S418" s="1"/>
  <c r="Z283"/>
  <c r="Z1" s="1"/>
  <c r="W284"/>
  <c r="W285"/>
  <c r="M416" i="10" l="1"/>
  <c r="M417" s="1"/>
  <c r="Z282"/>
  <c r="Z1" s="1"/>
  <c r="S296" i="8"/>
  <c r="S297"/>
  <c r="M420" i="10" l="1"/>
  <c r="M421"/>
  <c r="M422"/>
  <c r="F287" i="3" l="1"/>
  <c r="F286"/>
  <c r="F285"/>
  <c r="F284"/>
  <c r="S284"/>
  <c r="S285" s="1"/>
  <c r="R334"/>
  <c r="Q334"/>
  <c r="P334"/>
  <c r="O334"/>
  <c r="N334"/>
  <c r="L334"/>
  <c r="K334"/>
  <c r="J334"/>
  <c r="H334"/>
  <c r="G334"/>
  <c r="R330"/>
  <c r="Q330"/>
  <c r="P330"/>
  <c r="O330"/>
  <c r="N330"/>
  <c r="L330"/>
  <c r="K330"/>
  <c r="J330"/>
  <c r="H330"/>
  <c r="G330"/>
  <c r="S328"/>
  <c r="R328"/>
  <c r="Q328"/>
  <c r="P328"/>
  <c r="O328"/>
  <c r="N328"/>
  <c r="M328"/>
  <c r="U328" s="1"/>
  <c r="L328"/>
  <c r="K328"/>
  <c r="J328"/>
  <c r="H328"/>
  <c r="G328"/>
  <c r="I328" s="1"/>
  <c r="R327"/>
  <c r="Q327"/>
  <c r="P327"/>
  <c r="O327"/>
  <c r="L327"/>
  <c r="K327"/>
  <c r="J327"/>
  <c r="H327"/>
  <c r="G327"/>
  <c r="H325"/>
  <c r="G325"/>
  <c r="E325"/>
  <c r="E332" s="1"/>
  <c r="H307"/>
  <c r="W333" s="1"/>
  <c r="G307"/>
  <c r="E333" s="1"/>
  <c r="I306"/>
  <c r="I305"/>
  <c r="J287"/>
  <c r="R286"/>
  <c r="H286"/>
  <c r="R278"/>
  <c r="Q278"/>
  <c r="P278"/>
  <c r="O278"/>
  <c r="N278"/>
  <c r="M278"/>
  <c r="L278"/>
  <c r="K278"/>
  <c r="J278"/>
  <c r="I278"/>
  <c r="H278"/>
  <c r="G278"/>
  <c r="S277"/>
  <c r="Z277" s="1"/>
  <c r="S276"/>
  <c r="Z276" s="1"/>
  <c r="S275"/>
  <c r="Z275" s="1"/>
  <c r="V272"/>
  <c r="R272"/>
  <c r="Q272"/>
  <c r="P272"/>
  <c r="O272"/>
  <c r="L272"/>
  <c r="K272"/>
  <c r="J272"/>
  <c r="I272"/>
  <c r="H272"/>
  <c r="G272"/>
  <c r="S271"/>
  <c r="U271" s="1"/>
  <c r="W271" s="1"/>
  <c r="M271"/>
  <c r="M270"/>
  <c r="S270" s="1"/>
  <c r="U270" s="1"/>
  <c r="W270" s="1"/>
  <c r="M269"/>
  <c r="S269" s="1"/>
  <c r="M268"/>
  <c r="M330" s="1"/>
  <c r="N272"/>
  <c r="M267"/>
  <c r="M327" s="1"/>
  <c r="S263"/>
  <c r="R263"/>
  <c r="Q263"/>
  <c r="Q264" s="1"/>
  <c r="Q280" s="1"/>
  <c r="P263"/>
  <c r="O263"/>
  <c r="N263"/>
  <c r="M263"/>
  <c r="L263"/>
  <c r="K263"/>
  <c r="J263"/>
  <c r="H263"/>
  <c r="G263"/>
  <c r="M257"/>
  <c r="S257" s="1"/>
  <c r="V254"/>
  <c r="R254"/>
  <c r="Q254"/>
  <c r="P254"/>
  <c r="O254"/>
  <c r="N254"/>
  <c r="L254"/>
  <c r="K254"/>
  <c r="J254"/>
  <c r="I254"/>
  <c r="H254"/>
  <c r="G254"/>
  <c r="M253"/>
  <c r="S253" s="1"/>
  <c r="U253" s="1"/>
  <c r="W253" s="1"/>
  <c r="M252"/>
  <c r="S252" s="1"/>
  <c r="U252" s="1"/>
  <c r="W252" s="1"/>
  <c r="S251"/>
  <c r="M251"/>
  <c r="M250"/>
  <c r="S249"/>
  <c r="U249" s="1"/>
  <c r="W249" s="1"/>
  <c r="M249"/>
  <c r="S245"/>
  <c r="R245"/>
  <c r="Q245"/>
  <c r="P245"/>
  <c r="O245"/>
  <c r="N245"/>
  <c r="M245"/>
  <c r="L245"/>
  <c r="K245"/>
  <c r="J245"/>
  <c r="I245"/>
  <c r="H245"/>
  <c r="G245"/>
  <c r="V240"/>
  <c r="R240"/>
  <c r="Q240"/>
  <c r="P240"/>
  <c r="O240"/>
  <c r="L240"/>
  <c r="K240"/>
  <c r="J240"/>
  <c r="I240"/>
  <c r="H240"/>
  <c r="G240"/>
  <c r="M239"/>
  <c r="S239" s="1"/>
  <c r="U239" s="1"/>
  <c r="W239" s="1"/>
  <c r="M238"/>
  <c r="S238" s="1"/>
  <c r="U238" s="1"/>
  <c r="W238" s="1"/>
  <c r="S237"/>
  <c r="U237" s="1"/>
  <c r="W237" s="1"/>
  <c r="M237"/>
  <c r="S236"/>
  <c r="U236" s="1"/>
  <c r="W236" s="1"/>
  <c r="M236"/>
  <c r="M235"/>
  <c r="S235" s="1"/>
  <c r="U235" s="1"/>
  <c r="W235" s="1"/>
  <c r="M234"/>
  <c r="S234" s="1"/>
  <c r="S233"/>
  <c r="M233"/>
  <c r="N240"/>
  <c r="M232"/>
  <c r="R229"/>
  <c r="Q229"/>
  <c r="P229"/>
  <c r="O229"/>
  <c r="L229"/>
  <c r="K229"/>
  <c r="I229"/>
  <c r="H229"/>
  <c r="G229"/>
  <c r="M228"/>
  <c r="S228" s="1"/>
  <c r="M227"/>
  <c r="S227" s="1"/>
  <c r="N226"/>
  <c r="N229" s="1"/>
  <c r="M226"/>
  <c r="S225"/>
  <c r="U225" s="1"/>
  <c r="M225"/>
  <c r="S224"/>
  <c r="V224" s="1"/>
  <c r="M224"/>
  <c r="S223"/>
  <c r="U223" s="1"/>
  <c r="M223"/>
  <c r="J222"/>
  <c r="M222" s="1"/>
  <c r="S222" s="1"/>
  <c r="M221"/>
  <c r="S221" s="1"/>
  <c r="V221" s="1"/>
  <c r="V218"/>
  <c r="Q218"/>
  <c r="P218"/>
  <c r="O218"/>
  <c r="L218"/>
  <c r="K218"/>
  <c r="I218"/>
  <c r="H218"/>
  <c r="G218"/>
  <c r="M217"/>
  <c r="S217" s="1"/>
  <c r="U217" s="1"/>
  <c r="W217" s="1"/>
  <c r="J216"/>
  <c r="M216" s="1"/>
  <c r="S216" s="1"/>
  <c r="U216" s="1"/>
  <c r="W216" s="1"/>
  <c r="J215"/>
  <c r="J325" s="1"/>
  <c r="M214"/>
  <c r="S214" s="1"/>
  <c r="U214" s="1"/>
  <c r="W214" s="1"/>
  <c r="M213"/>
  <c r="S213" s="1"/>
  <c r="U213" s="1"/>
  <c r="W213" s="1"/>
  <c r="M212"/>
  <c r="S212" s="1"/>
  <c r="U212" s="1"/>
  <c r="W212" s="1"/>
  <c r="M211"/>
  <c r="S211" s="1"/>
  <c r="M210"/>
  <c r="S210" s="1"/>
  <c r="M209"/>
  <c r="S209" s="1"/>
  <c r="M208"/>
  <c r="S208" s="1"/>
  <c r="R207"/>
  <c r="R218" s="1"/>
  <c r="N218"/>
  <c r="M207"/>
  <c r="R204"/>
  <c r="Q204"/>
  <c r="O204"/>
  <c r="L204"/>
  <c r="K204"/>
  <c r="J204"/>
  <c r="I204"/>
  <c r="H204"/>
  <c r="G204"/>
  <c r="S203"/>
  <c r="Z203" s="1"/>
  <c r="M203"/>
  <c r="M202"/>
  <c r="S202" s="1"/>
  <c r="M201"/>
  <c r="S201" s="1"/>
  <c r="S200"/>
  <c r="M200"/>
  <c r="M199"/>
  <c r="S199"/>
  <c r="P204"/>
  <c r="M198"/>
  <c r="N204"/>
  <c r="R195"/>
  <c r="Q195"/>
  <c r="P195"/>
  <c r="L195"/>
  <c r="K195"/>
  <c r="J195"/>
  <c r="I195"/>
  <c r="H195"/>
  <c r="G195"/>
  <c r="S194"/>
  <c r="U194" s="1"/>
  <c r="M194"/>
  <c r="M193"/>
  <c r="S193" s="1"/>
  <c r="M192"/>
  <c r="S192" s="1"/>
  <c r="S191"/>
  <c r="M191"/>
  <c r="M190"/>
  <c r="S190" s="1"/>
  <c r="U190" s="1"/>
  <c r="M189"/>
  <c r="S189" s="1"/>
  <c r="M188"/>
  <c r="S188" s="1"/>
  <c r="M187"/>
  <c r="S187" s="1"/>
  <c r="M186"/>
  <c r="S186" s="1"/>
  <c r="M185"/>
  <c r="S185" s="1"/>
  <c r="M184"/>
  <c r="M183"/>
  <c r="S183" s="1"/>
  <c r="M182"/>
  <c r="S182"/>
  <c r="S181"/>
  <c r="M181"/>
  <c r="M180"/>
  <c r="S180" s="1"/>
  <c r="M179"/>
  <c r="S179" s="1"/>
  <c r="S178"/>
  <c r="M178"/>
  <c r="Q175"/>
  <c r="P175"/>
  <c r="O175"/>
  <c r="L175"/>
  <c r="K175"/>
  <c r="I175"/>
  <c r="H175"/>
  <c r="G175"/>
  <c r="M174"/>
  <c r="S174" s="1"/>
  <c r="M173"/>
  <c r="S173" s="1"/>
  <c r="U173" s="1"/>
  <c r="M172"/>
  <c r="S172" s="1"/>
  <c r="R171"/>
  <c r="R175" s="1"/>
  <c r="M171"/>
  <c r="S171" s="1"/>
  <c r="M170"/>
  <c r="M169"/>
  <c r="M168"/>
  <c r="M167"/>
  <c r="M166"/>
  <c r="M165"/>
  <c r="M164"/>
  <c r="M163"/>
  <c r="S163" s="1"/>
  <c r="M162"/>
  <c r="J161"/>
  <c r="M161" s="1"/>
  <c r="S161" s="1"/>
  <c r="M160"/>
  <c r="M159"/>
  <c r="M158"/>
  <c r="S158" s="1"/>
  <c r="M157"/>
  <c r="S157" s="1"/>
  <c r="U157" s="1"/>
  <c r="M156"/>
  <c r="S156" s="1"/>
  <c r="S155"/>
  <c r="M155"/>
  <c r="M154"/>
  <c r="S154" s="1"/>
  <c r="U154" s="1"/>
  <c r="M153"/>
  <c r="S153" s="1"/>
  <c r="M152"/>
  <c r="S152" s="1"/>
  <c r="M151"/>
  <c r="S151" s="1"/>
  <c r="M150"/>
  <c r="M149"/>
  <c r="M148"/>
  <c r="S148" s="1"/>
  <c r="M147"/>
  <c r="S147" s="1"/>
  <c r="S146"/>
  <c r="U146" s="1"/>
  <c r="M146"/>
  <c r="M145"/>
  <c r="S145" s="1"/>
  <c r="M144"/>
  <c r="M143"/>
  <c r="S143" s="1"/>
  <c r="S142"/>
  <c r="M142"/>
  <c r="M141"/>
  <c r="S141" s="1"/>
  <c r="U141" s="1"/>
  <c r="M140"/>
  <c r="S140" s="1"/>
  <c r="M139"/>
  <c r="S139" s="1"/>
  <c r="M138"/>
  <c r="S138" s="1"/>
  <c r="M137"/>
  <c r="S137" s="1"/>
  <c r="M136"/>
  <c r="S136" s="1"/>
  <c r="M135"/>
  <c r="S135" s="1"/>
  <c r="S134"/>
  <c r="M134"/>
  <c r="M133"/>
  <c r="S133"/>
  <c r="S132"/>
  <c r="M132"/>
  <c r="M131"/>
  <c r="S131"/>
  <c r="M130"/>
  <c r="S130" s="1"/>
  <c r="M129"/>
  <c r="S129" s="1"/>
  <c r="M128"/>
  <c r="S128" s="1"/>
  <c r="M127"/>
  <c r="S127" s="1"/>
  <c r="M126"/>
  <c r="S126" s="1"/>
  <c r="M125"/>
  <c r="M124"/>
  <c r="M123"/>
  <c r="M122"/>
  <c r="M121"/>
  <c r="M120"/>
  <c r="M119"/>
  <c r="S119" s="1"/>
  <c r="M118"/>
  <c r="S118" s="1"/>
  <c r="M117"/>
  <c r="M116"/>
  <c r="S116" s="1"/>
  <c r="M115"/>
  <c r="M114"/>
  <c r="M113"/>
  <c r="M112"/>
  <c r="M111"/>
  <c r="M110"/>
  <c r="M109"/>
  <c r="S109" s="1"/>
  <c r="M108"/>
  <c r="M107"/>
  <c r="M106"/>
  <c r="M105"/>
  <c r="S105" s="1"/>
  <c r="S104"/>
  <c r="M104"/>
  <c r="M103"/>
  <c r="M102"/>
  <c r="M101"/>
  <c r="J101"/>
  <c r="M100"/>
  <c r="M99"/>
  <c r="S99" s="1"/>
  <c r="M98"/>
  <c r="M97"/>
  <c r="M96"/>
  <c r="S96"/>
  <c r="M95"/>
  <c r="M94"/>
  <c r="S94" s="1"/>
  <c r="M93"/>
  <c r="M92"/>
  <c r="M91"/>
  <c r="M90"/>
  <c r="M89"/>
  <c r="M88"/>
  <c r="M87"/>
  <c r="M86"/>
  <c r="S86" s="1"/>
  <c r="M85"/>
  <c r="M84"/>
  <c r="M83"/>
  <c r="M82"/>
  <c r="M81"/>
  <c r="S81" s="1"/>
  <c r="M80"/>
  <c r="M79"/>
  <c r="S79" s="1"/>
  <c r="M78"/>
  <c r="S77"/>
  <c r="U77" s="1"/>
  <c r="M77"/>
  <c r="M76"/>
  <c r="S76" s="1"/>
  <c r="M75"/>
  <c r="M74"/>
  <c r="S74" s="1"/>
  <c r="M73"/>
  <c r="S73" s="1"/>
  <c r="U73" s="1"/>
  <c r="M72"/>
  <c r="S72" s="1"/>
  <c r="M70"/>
  <c r="S70" s="1"/>
  <c r="U70" s="1"/>
  <c r="M69"/>
  <c r="M68"/>
  <c r="M67"/>
  <c r="S67" s="1"/>
  <c r="M66"/>
  <c r="M65"/>
  <c r="S65" s="1"/>
  <c r="M64"/>
  <c r="M63"/>
  <c r="S63" s="1"/>
  <c r="M62"/>
  <c r="M61"/>
  <c r="M60"/>
  <c r="S60" s="1"/>
  <c r="U60" s="1"/>
  <c r="M59"/>
  <c r="M58"/>
  <c r="M57"/>
  <c r="M56"/>
  <c r="S56" s="1"/>
  <c r="U56" s="1"/>
  <c r="S55"/>
  <c r="U55" s="1"/>
  <c r="M55"/>
  <c r="Z55" s="1"/>
  <c r="M54"/>
  <c r="M53"/>
  <c r="S52"/>
  <c r="U52" s="1"/>
  <c r="M52"/>
  <c r="M51"/>
  <c r="M50"/>
  <c r="M49"/>
  <c r="M48"/>
  <c r="S48" s="1"/>
  <c r="U48" s="1"/>
  <c r="M47"/>
  <c r="S47"/>
  <c r="M46"/>
  <c r="M45"/>
  <c r="S45" s="1"/>
  <c r="M44"/>
  <c r="S44"/>
  <c r="M43"/>
  <c r="M42"/>
  <c r="J41"/>
  <c r="M41" s="1"/>
  <c r="S41" s="1"/>
  <c r="M39"/>
  <c r="S39"/>
  <c r="M38"/>
  <c r="S38"/>
  <c r="J37"/>
  <c r="M37" s="1"/>
  <c r="S37" s="1"/>
  <c r="M36"/>
  <c r="S36" s="1"/>
  <c r="M35"/>
  <c r="R32"/>
  <c r="Q32"/>
  <c r="P32"/>
  <c r="O32"/>
  <c r="L32"/>
  <c r="K32"/>
  <c r="J32"/>
  <c r="I32"/>
  <c r="H32"/>
  <c r="G32"/>
  <c r="M31"/>
  <c r="S31" s="1"/>
  <c r="M30"/>
  <c r="S30" s="1"/>
  <c r="Z30" s="1"/>
  <c r="S29"/>
  <c r="M29"/>
  <c r="M28"/>
  <c r="S28" s="1"/>
  <c r="M27"/>
  <c r="S27" s="1"/>
  <c r="S26"/>
  <c r="Z26" s="1"/>
  <c r="M26"/>
  <c r="M25"/>
  <c r="S25" s="1"/>
  <c r="M24"/>
  <c r="S24" s="1"/>
  <c r="M23"/>
  <c r="S23" s="1"/>
  <c r="M22"/>
  <c r="S22"/>
  <c r="M21"/>
  <c r="M20"/>
  <c r="S20" s="1"/>
  <c r="M19"/>
  <c r="S19"/>
  <c r="M18"/>
  <c r="S18" s="1"/>
  <c r="M17"/>
  <c r="M16"/>
  <c r="S16" s="1"/>
  <c r="M15"/>
  <c r="S15" s="1"/>
  <c r="M14"/>
  <c r="S14"/>
  <c r="M13"/>
  <c r="S13" s="1"/>
  <c r="M12"/>
  <c r="M11"/>
  <c r="B16" i="2"/>
  <c r="D16"/>
  <c r="C16"/>
  <c r="F288" i="3" l="1"/>
  <c r="Z49"/>
  <c r="S49"/>
  <c r="S51"/>
  <c r="U51" s="1"/>
  <c r="S57"/>
  <c r="U57" s="1"/>
  <c r="S207"/>
  <c r="Z224"/>
  <c r="G308"/>
  <c r="U224"/>
  <c r="S226"/>
  <c r="M32"/>
  <c r="M195"/>
  <c r="M196" s="1"/>
  <c r="M204"/>
  <c r="M205" s="1"/>
  <c r="S268"/>
  <c r="U268" s="1"/>
  <c r="W268" s="1"/>
  <c r="Z18"/>
  <c r="U18"/>
  <c r="V18"/>
  <c r="U20"/>
  <c r="V20"/>
  <c r="Z20"/>
  <c r="Z23"/>
  <c r="U23"/>
  <c r="V23"/>
  <c r="Z37"/>
  <c r="U37"/>
  <c r="W37" s="1"/>
  <c r="V37"/>
  <c r="V38"/>
  <c r="Z38"/>
  <c r="U38"/>
  <c r="W38" s="1"/>
  <c r="U65"/>
  <c r="W65" s="1"/>
  <c r="V65"/>
  <c r="Z65"/>
  <c r="S21"/>
  <c r="Z14"/>
  <c r="U14"/>
  <c r="V14"/>
  <c r="U16"/>
  <c r="V16"/>
  <c r="Z16"/>
  <c r="V19"/>
  <c r="Z19"/>
  <c r="U19"/>
  <c r="U28"/>
  <c r="V28"/>
  <c r="Z28"/>
  <c r="U39"/>
  <c r="Z39"/>
  <c r="V39"/>
  <c r="U47"/>
  <c r="V47"/>
  <c r="Z47"/>
  <c r="U72"/>
  <c r="W72" s="1"/>
  <c r="V72"/>
  <c r="Z72"/>
  <c r="U74"/>
  <c r="V74"/>
  <c r="Z74"/>
  <c r="S17"/>
  <c r="M289"/>
  <c r="M291"/>
  <c r="M33"/>
  <c r="Z13"/>
  <c r="U13"/>
  <c r="V13"/>
  <c r="V15"/>
  <c r="Z15"/>
  <c r="U15"/>
  <c r="U24"/>
  <c r="W24" s="1"/>
  <c r="V24"/>
  <c r="Z24"/>
  <c r="V29"/>
  <c r="Z29"/>
  <c r="U29"/>
  <c r="W29" s="1"/>
  <c r="V31"/>
  <c r="U31"/>
  <c r="W31" s="1"/>
  <c r="Z31"/>
  <c r="S35"/>
  <c r="U41"/>
  <c r="Z41"/>
  <c r="V41"/>
  <c r="U45"/>
  <c r="V45"/>
  <c r="Z45"/>
  <c r="U67"/>
  <c r="V67"/>
  <c r="Z67"/>
  <c r="S11"/>
  <c r="N32"/>
  <c r="Z22"/>
  <c r="U22"/>
  <c r="W22" s="1"/>
  <c r="V22"/>
  <c r="V25"/>
  <c r="Z25"/>
  <c r="U25"/>
  <c r="Z27"/>
  <c r="U27"/>
  <c r="V27"/>
  <c r="U36"/>
  <c r="Z36"/>
  <c r="V36"/>
  <c r="V44"/>
  <c r="U44"/>
  <c r="Z44"/>
  <c r="U63"/>
  <c r="V63"/>
  <c r="Z63"/>
  <c r="U76"/>
  <c r="V76"/>
  <c r="Z76"/>
  <c r="J289"/>
  <c r="J291"/>
  <c r="R289"/>
  <c r="R260"/>
  <c r="R244"/>
  <c r="R246" s="1"/>
  <c r="R256" s="1"/>
  <c r="R258" s="1"/>
  <c r="R291"/>
  <c r="V73"/>
  <c r="W73" s="1"/>
  <c r="Z73"/>
  <c r="V77"/>
  <c r="W77" s="1"/>
  <c r="Z77"/>
  <c r="V81"/>
  <c r="Z81"/>
  <c r="U81"/>
  <c r="W81" s="1"/>
  <c r="V104"/>
  <c r="Z104"/>
  <c r="U104"/>
  <c r="W104" s="1"/>
  <c r="V116"/>
  <c r="Z116"/>
  <c r="U116"/>
  <c r="Z126"/>
  <c r="U126"/>
  <c r="W126" s="1"/>
  <c r="V126"/>
  <c r="Z127"/>
  <c r="U127"/>
  <c r="V127"/>
  <c r="V128"/>
  <c r="Z128"/>
  <c r="U128"/>
  <c r="W128" s="1"/>
  <c r="Z131"/>
  <c r="U131"/>
  <c r="V131"/>
  <c r="Z135"/>
  <c r="U135"/>
  <c r="W135" s="1"/>
  <c r="V135"/>
  <c r="U137"/>
  <c r="V137"/>
  <c r="Z137"/>
  <c r="Z139"/>
  <c r="U139"/>
  <c r="W139" s="1"/>
  <c r="V139"/>
  <c r="V142"/>
  <c r="Z142"/>
  <c r="U142"/>
  <c r="Z148"/>
  <c r="U148"/>
  <c r="V148"/>
  <c r="V151"/>
  <c r="Z151"/>
  <c r="U151"/>
  <c r="W151" s="1"/>
  <c r="Z153"/>
  <c r="U153"/>
  <c r="V153"/>
  <c r="U158"/>
  <c r="V158"/>
  <c r="U161"/>
  <c r="W161" s="1"/>
  <c r="V161"/>
  <c r="U174"/>
  <c r="W174" s="1"/>
  <c r="V174"/>
  <c r="Z179"/>
  <c r="U179"/>
  <c r="W179" s="1"/>
  <c r="V179"/>
  <c r="Z180"/>
  <c r="U180"/>
  <c r="W180" s="1"/>
  <c r="V180"/>
  <c r="V181"/>
  <c r="Z181"/>
  <c r="U181"/>
  <c r="W181" s="1"/>
  <c r="Z187"/>
  <c r="U187"/>
  <c r="W187" s="1"/>
  <c r="V187"/>
  <c r="Z188"/>
  <c r="U188"/>
  <c r="V188"/>
  <c r="Z192"/>
  <c r="U192"/>
  <c r="W192" s="1"/>
  <c r="V192"/>
  <c r="Z199"/>
  <c r="U199"/>
  <c r="V199"/>
  <c r="Z200"/>
  <c r="U200"/>
  <c r="W200" s="1"/>
  <c r="V200"/>
  <c r="Z209"/>
  <c r="U209"/>
  <c r="W209" s="1"/>
  <c r="Z211"/>
  <c r="U211"/>
  <c r="W211" s="1"/>
  <c r="V227"/>
  <c r="U227"/>
  <c r="W227" s="1"/>
  <c r="Z234"/>
  <c r="U234"/>
  <c r="W234" s="1"/>
  <c r="S12"/>
  <c r="V26"/>
  <c r="V30"/>
  <c r="S75"/>
  <c r="S100"/>
  <c r="I289"/>
  <c r="I260"/>
  <c r="I291"/>
  <c r="I244"/>
  <c r="Q289"/>
  <c r="Q291"/>
  <c r="Q244"/>
  <c r="Q246" s="1"/>
  <c r="Q256" s="1"/>
  <c r="Q258" s="1"/>
  <c r="V48"/>
  <c r="W48" s="1"/>
  <c r="Z48"/>
  <c r="V52"/>
  <c r="W52" s="1"/>
  <c r="Z52"/>
  <c r="V56"/>
  <c r="W56" s="1"/>
  <c r="Z56"/>
  <c r="V60"/>
  <c r="W60" s="1"/>
  <c r="Z60"/>
  <c r="Z79"/>
  <c r="V79"/>
  <c r="U86"/>
  <c r="V86"/>
  <c r="Z86"/>
  <c r="U94"/>
  <c r="V94"/>
  <c r="Z94"/>
  <c r="Z96"/>
  <c r="U96"/>
  <c r="W96" s="1"/>
  <c r="V96"/>
  <c r="U105"/>
  <c r="V105"/>
  <c r="Z105"/>
  <c r="U109"/>
  <c r="V109"/>
  <c r="Z109"/>
  <c r="Z118"/>
  <c r="U118"/>
  <c r="V118"/>
  <c r="Z119"/>
  <c r="U119"/>
  <c r="W119" s="1"/>
  <c r="V119"/>
  <c r="U133"/>
  <c r="V133"/>
  <c r="Z133"/>
  <c r="V134"/>
  <c r="Z134"/>
  <c r="U134"/>
  <c r="W134" s="1"/>
  <c r="V138"/>
  <c r="Z138"/>
  <c r="U138"/>
  <c r="U156"/>
  <c r="V156"/>
  <c r="U163"/>
  <c r="V163"/>
  <c r="U172"/>
  <c r="W172" s="1"/>
  <c r="V172"/>
  <c r="U186"/>
  <c r="W186" s="1"/>
  <c r="V186"/>
  <c r="Z186"/>
  <c r="V191"/>
  <c r="Z191"/>
  <c r="U191"/>
  <c r="V202"/>
  <c r="Z202"/>
  <c r="U202"/>
  <c r="Z207"/>
  <c r="U207"/>
  <c r="U26"/>
  <c r="W26" s="1"/>
  <c r="U30"/>
  <c r="W30" s="1"/>
  <c r="S78"/>
  <c r="S84"/>
  <c r="S88"/>
  <c r="S92"/>
  <c r="S144"/>
  <c r="V70"/>
  <c r="W70" s="1"/>
  <c r="Z70"/>
  <c r="Z99"/>
  <c r="U99"/>
  <c r="V99"/>
  <c r="Z130"/>
  <c r="U130"/>
  <c r="V130"/>
  <c r="V132"/>
  <c r="Z132"/>
  <c r="U132"/>
  <c r="Z136"/>
  <c r="U136"/>
  <c r="V136"/>
  <c r="Z140"/>
  <c r="U140"/>
  <c r="V140"/>
  <c r="V147"/>
  <c r="Z147"/>
  <c r="U147"/>
  <c r="W147" s="1"/>
  <c r="Z152"/>
  <c r="U152"/>
  <c r="V152"/>
  <c r="V155"/>
  <c r="Z155"/>
  <c r="U155"/>
  <c r="Z183"/>
  <c r="U183"/>
  <c r="V183"/>
  <c r="V185"/>
  <c r="Z185"/>
  <c r="U185"/>
  <c r="W185" s="1"/>
  <c r="Z193"/>
  <c r="U193"/>
  <c r="V193"/>
  <c r="U208"/>
  <c r="W208" s="1"/>
  <c r="Z208"/>
  <c r="U210"/>
  <c r="W210" s="1"/>
  <c r="Z210"/>
  <c r="V226"/>
  <c r="U226"/>
  <c r="W226" s="1"/>
  <c r="S43"/>
  <c r="S46"/>
  <c r="V49"/>
  <c r="S50"/>
  <c r="V51"/>
  <c r="S53"/>
  <c r="S54"/>
  <c r="V55"/>
  <c r="V57"/>
  <c r="S58"/>
  <c r="S59"/>
  <c r="S61"/>
  <c r="S62"/>
  <c r="S66"/>
  <c r="S80"/>
  <c r="S101"/>
  <c r="S103"/>
  <c r="S117"/>
  <c r="S184"/>
  <c r="S160"/>
  <c r="S170"/>
  <c r="S168"/>
  <c r="S166"/>
  <c r="S164"/>
  <c r="S162"/>
  <c r="S124"/>
  <c r="S120"/>
  <c r="S112"/>
  <c r="S108"/>
  <c r="S97"/>
  <c r="S93"/>
  <c r="S89"/>
  <c r="S85"/>
  <c r="S159"/>
  <c r="S150"/>
  <c r="S169"/>
  <c r="S167"/>
  <c r="S165"/>
  <c r="S149"/>
  <c r="S122"/>
  <c r="S114"/>
  <c r="S110"/>
  <c r="S106"/>
  <c r="S95"/>
  <c r="S91"/>
  <c r="S87"/>
  <c r="S83"/>
  <c r="G291"/>
  <c r="G289"/>
  <c r="G260"/>
  <c r="G244"/>
  <c r="K291"/>
  <c r="K289"/>
  <c r="K260"/>
  <c r="K244"/>
  <c r="K246" s="1"/>
  <c r="K256" s="1"/>
  <c r="K258" s="1"/>
  <c r="O291"/>
  <c r="O289"/>
  <c r="U129"/>
  <c r="V129"/>
  <c r="Z129"/>
  <c r="Z143"/>
  <c r="U143"/>
  <c r="V143"/>
  <c r="Z145"/>
  <c r="U145"/>
  <c r="V145"/>
  <c r="U171"/>
  <c r="V171"/>
  <c r="S195"/>
  <c r="V178"/>
  <c r="Z178"/>
  <c r="U178"/>
  <c r="U182"/>
  <c r="V182"/>
  <c r="Z182"/>
  <c r="Z189"/>
  <c r="U189"/>
  <c r="V189"/>
  <c r="U201"/>
  <c r="V201"/>
  <c r="Z201"/>
  <c r="V222"/>
  <c r="Z222"/>
  <c r="U222"/>
  <c r="W222" s="1"/>
  <c r="U228"/>
  <c r="V228"/>
  <c r="S42"/>
  <c r="W51"/>
  <c r="W55"/>
  <c r="W57"/>
  <c r="S64"/>
  <c r="S68"/>
  <c r="S69"/>
  <c r="U79"/>
  <c r="W79" s="1"/>
  <c r="S82"/>
  <c r="S90"/>
  <c r="S98"/>
  <c r="S102"/>
  <c r="S107"/>
  <c r="S111"/>
  <c r="S113"/>
  <c r="S115"/>
  <c r="S121"/>
  <c r="S123"/>
  <c r="S125"/>
  <c r="U233"/>
  <c r="W233" s="1"/>
  <c r="Z233"/>
  <c r="Z251"/>
  <c r="U251"/>
  <c r="W251" s="1"/>
  <c r="Z257"/>
  <c r="V257"/>
  <c r="V258" s="1"/>
  <c r="U330"/>
  <c r="I330"/>
  <c r="Z141"/>
  <c r="Z146"/>
  <c r="Z154"/>
  <c r="V173"/>
  <c r="W173" s="1"/>
  <c r="Z190"/>
  <c r="Z194"/>
  <c r="N195"/>
  <c r="V203"/>
  <c r="M229"/>
  <c r="Z235"/>
  <c r="Q290"/>
  <c r="W386"/>
  <c r="J333"/>
  <c r="W336"/>
  <c r="W335"/>
  <c r="G333"/>
  <c r="H333"/>
  <c r="U203"/>
  <c r="Z212"/>
  <c r="U221"/>
  <c r="Z223"/>
  <c r="V225"/>
  <c r="W225" s="1"/>
  <c r="M240"/>
  <c r="M241" s="1"/>
  <c r="U327"/>
  <c r="I327"/>
  <c r="Z269"/>
  <c r="U269"/>
  <c r="W269" s="1"/>
  <c r="E386"/>
  <c r="Q333"/>
  <c r="M333"/>
  <c r="R333"/>
  <c r="N333"/>
  <c r="O333"/>
  <c r="K333"/>
  <c r="E336"/>
  <c r="E335"/>
  <c r="P333"/>
  <c r="L333"/>
  <c r="V141"/>
  <c r="W141" s="1"/>
  <c r="V146"/>
  <c r="W146" s="1"/>
  <c r="V154"/>
  <c r="W154" s="1"/>
  <c r="V157"/>
  <c r="W157" s="1"/>
  <c r="V190"/>
  <c r="W190" s="1"/>
  <c r="V194"/>
  <c r="W194" s="1"/>
  <c r="W224"/>
  <c r="S229"/>
  <c r="H260"/>
  <c r="H291"/>
  <c r="H289"/>
  <c r="H244"/>
  <c r="H246" s="1"/>
  <c r="H256" s="1"/>
  <c r="H258" s="1"/>
  <c r="L260"/>
  <c r="L291"/>
  <c r="L289"/>
  <c r="L244"/>
  <c r="L246" s="1"/>
  <c r="L256" s="1"/>
  <c r="L258" s="1"/>
  <c r="P260"/>
  <c r="P291"/>
  <c r="P289"/>
  <c r="P244"/>
  <c r="P246" s="1"/>
  <c r="P256" s="1"/>
  <c r="P258" s="1"/>
  <c r="Q332"/>
  <c r="M332"/>
  <c r="R332"/>
  <c r="N332"/>
  <c r="S332"/>
  <c r="O332"/>
  <c r="K332"/>
  <c r="P332"/>
  <c r="L332"/>
  <c r="O195"/>
  <c r="S198"/>
  <c r="M215"/>
  <c r="S215" s="1"/>
  <c r="U215" s="1"/>
  <c r="W215" s="1"/>
  <c r="J218"/>
  <c r="Z221"/>
  <c r="V223"/>
  <c r="W223" s="1"/>
  <c r="J229"/>
  <c r="M254"/>
  <c r="U257"/>
  <c r="S232"/>
  <c r="Z249"/>
  <c r="S267"/>
  <c r="Z268"/>
  <c r="M272"/>
  <c r="U275"/>
  <c r="U276"/>
  <c r="W276" s="1"/>
  <c r="U277"/>
  <c r="W277" s="1"/>
  <c r="H308"/>
  <c r="W314" s="1"/>
  <c r="Q325"/>
  <c r="E326"/>
  <c r="E329"/>
  <c r="S330"/>
  <c r="M334"/>
  <c r="S278"/>
  <c r="Z278" s="1"/>
  <c r="E314"/>
  <c r="L325"/>
  <c r="P325"/>
  <c r="W326"/>
  <c r="N327"/>
  <c r="W329"/>
  <c r="S250"/>
  <c r="I307"/>
  <c r="I308" s="1"/>
  <c r="K325"/>
  <c r="O325"/>
  <c r="S325"/>
  <c r="E331"/>
  <c r="W367"/>
  <c r="E367"/>
  <c r="N325"/>
  <c r="R325"/>
  <c r="W331"/>
  <c r="W332"/>
  <c r="J71" l="1"/>
  <c r="M71" s="1"/>
  <c r="S71" s="1"/>
  <c r="J40"/>
  <c r="U8"/>
  <c r="V229"/>
  <c r="W127"/>
  <c r="W45"/>
  <c r="W18"/>
  <c r="W156"/>
  <c r="Z51"/>
  <c r="W136"/>
  <c r="W94"/>
  <c r="W131"/>
  <c r="W39"/>
  <c r="W19"/>
  <c r="W23"/>
  <c r="W20"/>
  <c r="Z57"/>
  <c r="M325"/>
  <c r="W109"/>
  <c r="W86"/>
  <c r="W142"/>
  <c r="W67"/>
  <c r="W74"/>
  <c r="W28"/>
  <c r="U49"/>
  <c r="W49" s="1"/>
  <c r="U82"/>
  <c r="W82" s="1"/>
  <c r="V82"/>
  <c r="Z82"/>
  <c r="Z95"/>
  <c r="U95"/>
  <c r="W95" s="1"/>
  <c r="V95"/>
  <c r="Z114"/>
  <c r="U114"/>
  <c r="V114"/>
  <c r="U167"/>
  <c r="V167"/>
  <c r="V108"/>
  <c r="Z108"/>
  <c r="U108"/>
  <c r="Z75"/>
  <c r="V75"/>
  <c r="U75"/>
  <c r="W75" s="1"/>
  <c r="Z83"/>
  <c r="U83"/>
  <c r="V83"/>
  <c r="Z122"/>
  <c r="U122"/>
  <c r="V122"/>
  <c r="U169"/>
  <c r="V169"/>
  <c r="V112"/>
  <c r="Z112"/>
  <c r="U112"/>
  <c r="W112" s="1"/>
  <c r="U160"/>
  <c r="W160" s="1"/>
  <c r="V160"/>
  <c r="U78"/>
  <c r="V78"/>
  <c r="Z78"/>
  <c r="U90"/>
  <c r="V90"/>
  <c r="Z90"/>
  <c r="Z91"/>
  <c r="U91"/>
  <c r="V91"/>
  <c r="Z110"/>
  <c r="U110"/>
  <c r="V110"/>
  <c r="U165"/>
  <c r="V165"/>
  <c r="Z144"/>
  <c r="U144"/>
  <c r="V144"/>
  <c r="U98"/>
  <c r="V98"/>
  <c r="Z98"/>
  <c r="U69"/>
  <c r="V69"/>
  <c r="Z69"/>
  <c r="Z87"/>
  <c r="U87"/>
  <c r="V87"/>
  <c r="Z106"/>
  <c r="U106"/>
  <c r="V106"/>
  <c r="Z149"/>
  <c r="U149"/>
  <c r="V149"/>
  <c r="Q331"/>
  <c r="M331"/>
  <c r="R331"/>
  <c r="N331"/>
  <c r="S331"/>
  <c r="O331"/>
  <c r="K331"/>
  <c r="P331"/>
  <c r="L331"/>
  <c r="G326"/>
  <c r="H326"/>
  <c r="J326"/>
  <c r="S329"/>
  <c r="O329"/>
  <c r="K329"/>
  <c r="P329"/>
  <c r="L329"/>
  <c r="Q329"/>
  <c r="M329"/>
  <c r="R329"/>
  <c r="N329"/>
  <c r="W385"/>
  <c r="W384"/>
  <c r="W383"/>
  <c r="W382"/>
  <c r="W381"/>
  <c r="W380"/>
  <c r="W379"/>
  <c r="W378"/>
  <c r="W377"/>
  <c r="W376"/>
  <c r="W375"/>
  <c r="W374"/>
  <c r="W373"/>
  <c r="W372"/>
  <c r="W398"/>
  <c r="W397"/>
  <c r="W396"/>
  <c r="W395"/>
  <c r="W394"/>
  <c r="W393"/>
  <c r="W392"/>
  <c r="W391"/>
  <c r="W390"/>
  <c r="W389"/>
  <c r="W388"/>
  <c r="W364"/>
  <c r="W363"/>
  <c r="W412"/>
  <c r="W411"/>
  <c r="W410"/>
  <c r="W409"/>
  <c r="W408"/>
  <c r="W407"/>
  <c r="W406"/>
  <c r="W405"/>
  <c r="W404"/>
  <c r="W403"/>
  <c r="W402"/>
  <c r="W401"/>
  <c r="W400"/>
  <c r="W359"/>
  <c r="W358"/>
  <c r="W357"/>
  <c r="W356"/>
  <c r="W355"/>
  <c r="W354"/>
  <c r="W353"/>
  <c r="W352"/>
  <c r="W351"/>
  <c r="W350"/>
  <c r="W349"/>
  <c r="W348"/>
  <c r="W347"/>
  <c r="H314"/>
  <c r="W362"/>
  <c r="W361"/>
  <c r="W319"/>
  <c r="W318"/>
  <c r="W317"/>
  <c r="W316"/>
  <c r="W315"/>
  <c r="W337"/>
  <c r="W323"/>
  <c r="W322"/>
  <c r="W321"/>
  <c r="J314"/>
  <c r="W345"/>
  <c r="W344"/>
  <c r="W343"/>
  <c r="W342"/>
  <c r="W341"/>
  <c r="W340"/>
  <c r="W339"/>
  <c r="G314"/>
  <c r="S240"/>
  <c r="U232"/>
  <c r="Z232"/>
  <c r="P281"/>
  <c r="P292" s="1"/>
  <c r="P261"/>
  <c r="L281"/>
  <c r="L261"/>
  <c r="H281"/>
  <c r="H292" s="1"/>
  <c r="H261"/>
  <c r="S336"/>
  <c r="O336"/>
  <c r="K336"/>
  <c r="P336"/>
  <c r="L336"/>
  <c r="Q336"/>
  <c r="M336"/>
  <c r="R336"/>
  <c r="N336"/>
  <c r="Q386"/>
  <c r="M386"/>
  <c r="R386"/>
  <c r="N386"/>
  <c r="S386"/>
  <c r="O386"/>
  <c r="K386"/>
  <c r="P386"/>
  <c r="L386"/>
  <c r="G336"/>
  <c r="H336"/>
  <c r="J336"/>
  <c r="U121"/>
  <c r="V121"/>
  <c r="Z121"/>
  <c r="Z107"/>
  <c r="U107"/>
  <c r="V107"/>
  <c r="Z64"/>
  <c r="V64"/>
  <c r="U64"/>
  <c r="W178"/>
  <c r="U150"/>
  <c r="V150"/>
  <c r="Z150"/>
  <c r="V93"/>
  <c r="Z93"/>
  <c r="U93"/>
  <c r="V120"/>
  <c r="Z120"/>
  <c r="U120"/>
  <c r="V166"/>
  <c r="U166"/>
  <c r="Z80"/>
  <c r="U80"/>
  <c r="V80"/>
  <c r="U61"/>
  <c r="V61"/>
  <c r="Z61"/>
  <c r="Z50"/>
  <c r="V50"/>
  <c r="U50"/>
  <c r="Z92"/>
  <c r="U92"/>
  <c r="V92"/>
  <c r="W207"/>
  <c r="W218" s="1"/>
  <c r="U218"/>
  <c r="Z100"/>
  <c r="U100"/>
  <c r="V100"/>
  <c r="R281"/>
  <c r="R292" s="1"/>
  <c r="R261"/>
  <c r="N289"/>
  <c r="N291"/>
  <c r="W203"/>
  <c r="M218"/>
  <c r="M219" s="1"/>
  <c r="O260"/>
  <c r="W158"/>
  <c r="W148"/>
  <c r="W63"/>
  <c r="W27"/>
  <c r="W15"/>
  <c r="W13"/>
  <c r="W47"/>
  <c r="W16"/>
  <c r="E385"/>
  <c r="E384"/>
  <c r="E383"/>
  <c r="E382"/>
  <c r="E381"/>
  <c r="E380"/>
  <c r="E379"/>
  <c r="E378"/>
  <c r="E377"/>
  <c r="E376"/>
  <c r="E375"/>
  <c r="E374"/>
  <c r="E373"/>
  <c r="E372"/>
  <c r="E398"/>
  <c r="E397"/>
  <c r="E396"/>
  <c r="E395"/>
  <c r="E394"/>
  <c r="E393"/>
  <c r="E392"/>
  <c r="E391"/>
  <c r="E390"/>
  <c r="E389"/>
  <c r="E388"/>
  <c r="E412"/>
  <c r="E411"/>
  <c r="E410"/>
  <c r="E409"/>
  <c r="E408"/>
  <c r="E407"/>
  <c r="E406"/>
  <c r="E405"/>
  <c r="E404"/>
  <c r="E403"/>
  <c r="E402"/>
  <c r="E401"/>
  <c r="E400"/>
  <c r="E364"/>
  <c r="E345"/>
  <c r="E344"/>
  <c r="E343"/>
  <c r="E342"/>
  <c r="E341"/>
  <c r="E340"/>
  <c r="E339"/>
  <c r="P314"/>
  <c r="L314"/>
  <c r="E359"/>
  <c r="E358"/>
  <c r="E357"/>
  <c r="E356"/>
  <c r="E355"/>
  <c r="E354"/>
  <c r="E353"/>
  <c r="E352"/>
  <c r="E351"/>
  <c r="E350"/>
  <c r="E349"/>
  <c r="E348"/>
  <c r="E347"/>
  <c r="Q314"/>
  <c r="M314"/>
  <c r="E363"/>
  <c r="E362"/>
  <c r="E361"/>
  <c r="E319"/>
  <c r="E318"/>
  <c r="E317"/>
  <c r="E316"/>
  <c r="E315"/>
  <c r="R314"/>
  <c r="N314"/>
  <c r="E337"/>
  <c r="E323"/>
  <c r="E322"/>
  <c r="E321"/>
  <c r="S314"/>
  <c r="O314"/>
  <c r="K314"/>
  <c r="U325"/>
  <c r="I325"/>
  <c r="W275"/>
  <c r="W278" s="1"/>
  <c r="U278"/>
  <c r="S335"/>
  <c r="O335"/>
  <c r="K335"/>
  <c r="P335"/>
  <c r="L335"/>
  <c r="Q335"/>
  <c r="M335"/>
  <c r="R335"/>
  <c r="N335"/>
  <c r="G335"/>
  <c r="H335"/>
  <c r="J335"/>
  <c r="Z123"/>
  <c r="U123"/>
  <c r="W123" s="1"/>
  <c r="V123"/>
  <c r="Z111"/>
  <c r="U111"/>
  <c r="V111"/>
  <c r="Z68"/>
  <c r="V68"/>
  <c r="U68"/>
  <c r="Z195"/>
  <c r="S196"/>
  <c r="K281"/>
  <c r="K292" s="1"/>
  <c r="K261"/>
  <c r="K262" s="1"/>
  <c r="K264" s="1"/>
  <c r="K280" s="1"/>
  <c r="G246"/>
  <c r="G256" s="1"/>
  <c r="V89"/>
  <c r="Z89"/>
  <c r="U89"/>
  <c r="V164"/>
  <c r="U164"/>
  <c r="W164" s="1"/>
  <c r="U101"/>
  <c r="V101"/>
  <c r="Z101"/>
  <c r="Z62"/>
  <c r="V62"/>
  <c r="U62"/>
  <c r="W62" s="1"/>
  <c r="U43"/>
  <c r="V43"/>
  <c r="Z43"/>
  <c r="Z84"/>
  <c r="U84"/>
  <c r="V84"/>
  <c r="Z71"/>
  <c r="V71"/>
  <c r="U71"/>
  <c r="Z17"/>
  <c r="U17"/>
  <c r="V17"/>
  <c r="P262"/>
  <c r="P264" s="1"/>
  <c r="P280" s="1"/>
  <c r="L262"/>
  <c r="L264" s="1"/>
  <c r="L280" s="1"/>
  <c r="H262"/>
  <c r="H264" s="1"/>
  <c r="H280" s="1"/>
  <c r="S333"/>
  <c r="M230"/>
  <c r="W228"/>
  <c r="W189"/>
  <c r="W182"/>
  <c r="W145"/>
  <c r="O244"/>
  <c r="O246" s="1"/>
  <c r="O256" s="1"/>
  <c r="O258" s="1"/>
  <c r="W193"/>
  <c r="W155"/>
  <c r="W152"/>
  <c r="W202"/>
  <c r="W163"/>
  <c r="W118"/>
  <c r="W199"/>
  <c r="J331"/>
  <c r="G331"/>
  <c r="H331"/>
  <c r="G329"/>
  <c r="H329"/>
  <c r="J329"/>
  <c r="U334"/>
  <c r="I334"/>
  <c r="U267"/>
  <c r="S272"/>
  <c r="Z272" s="1"/>
  <c r="Z267"/>
  <c r="S327"/>
  <c r="W257"/>
  <c r="W258" s="1"/>
  <c r="U258"/>
  <c r="U332"/>
  <c r="I333"/>
  <c r="U333"/>
  <c r="U229"/>
  <c r="W221"/>
  <c r="W229" s="1"/>
  <c r="J386"/>
  <c r="G386"/>
  <c r="H386"/>
  <c r="U125"/>
  <c r="W125" s="1"/>
  <c r="V125"/>
  <c r="Z125"/>
  <c r="U113"/>
  <c r="V113"/>
  <c r="Z113"/>
  <c r="V85"/>
  <c r="Z85"/>
  <c r="U85"/>
  <c r="V162"/>
  <c r="U162"/>
  <c r="W162" s="1"/>
  <c r="V170"/>
  <c r="U170"/>
  <c r="W170" s="1"/>
  <c r="U117"/>
  <c r="V117"/>
  <c r="Z117"/>
  <c r="Z103"/>
  <c r="U103"/>
  <c r="V103"/>
  <c r="Z58"/>
  <c r="V58"/>
  <c r="U58"/>
  <c r="U53"/>
  <c r="W53" s="1"/>
  <c r="V53"/>
  <c r="Z53"/>
  <c r="Z46"/>
  <c r="V46"/>
  <c r="U46"/>
  <c r="Z88"/>
  <c r="U88"/>
  <c r="V88"/>
  <c r="Q281"/>
  <c r="Q261"/>
  <c r="U12"/>
  <c r="V12"/>
  <c r="Z12"/>
  <c r="Z21"/>
  <c r="U21"/>
  <c r="V21"/>
  <c r="W143"/>
  <c r="W129"/>
  <c r="W132"/>
  <c r="W130"/>
  <c r="S218"/>
  <c r="W191"/>
  <c r="W138"/>
  <c r="W133"/>
  <c r="W105"/>
  <c r="W153"/>
  <c r="W137"/>
  <c r="W116"/>
  <c r="W44"/>
  <c r="W36"/>
  <c r="W25"/>
  <c r="N175"/>
  <c r="N244" s="1"/>
  <c r="N246" s="1"/>
  <c r="N256" s="1"/>
  <c r="N258" s="1"/>
  <c r="W14"/>
  <c r="J332"/>
  <c r="G332"/>
  <c r="I332" s="1"/>
  <c r="H332"/>
  <c r="S367"/>
  <c r="O367"/>
  <c r="K367"/>
  <c r="G367"/>
  <c r="P367"/>
  <c r="L367"/>
  <c r="H367"/>
  <c r="Q367"/>
  <c r="M367"/>
  <c r="U367" s="1"/>
  <c r="I367"/>
  <c r="R367"/>
  <c r="N367"/>
  <c r="J367"/>
  <c r="Z250"/>
  <c r="S334"/>
  <c r="S254"/>
  <c r="Z254" s="1"/>
  <c r="U250"/>
  <c r="S326"/>
  <c r="O326"/>
  <c r="K326"/>
  <c r="P326"/>
  <c r="L326"/>
  <c r="Q326"/>
  <c r="M326"/>
  <c r="R326"/>
  <c r="N326"/>
  <c r="Z198"/>
  <c r="U198"/>
  <c r="S204"/>
  <c r="V198"/>
  <c r="V204" s="1"/>
  <c r="Z229"/>
  <c r="S230"/>
  <c r="Z115"/>
  <c r="U115"/>
  <c r="V115"/>
  <c r="Z102"/>
  <c r="U102"/>
  <c r="V102"/>
  <c r="Z42"/>
  <c r="U42"/>
  <c r="V42"/>
  <c r="U159"/>
  <c r="V159"/>
  <c r="V97"/>
  <c r="Z97"/>
  <c r="U97"/>
  <c r="W97" s="1"/>
  <c r="V124"/>
  <c r="Z124"/>
  <c r="U124"/>
  <c r="V168"/>
  <c r="U168"/>
  <c r="Z184"/>
  <c r="U184"/>
  <c r="V184"/>
  <c r="V195" s="1"/>
  <c r="V66"/>
  <c r="Z66"/>
  <c r="U66"/>
  <c r="U59"/>
  <c r="V59"/>
  <c r="Z59"/>
  <c r="Z54"/>
  <c r="V54"/>
  <c r="U54"/>
  <c r="S32"/>
  <c r="V11"/>
  <c r="Z11"/>
  <c r="U11"/>
  <c r="V35"/>
  <c r="Z35"/>
  <c r="U35"/>
  <c r="W201"/>
  <c r="W171"/>
  <c r="W183"/>
  <c r="W140"/>
  <c r="W99"/>
  <c r="W188"/>
  <c r="R262"/>
  <c r="R264" s="1"/>
  <c r="R280" s="1"/>
  <c r="W76"/>
  <c r="W41"/>
  <c r="W42" l="1"/>
  <c r="W80"/>
  <c r="W150"/>
  <c r="W114"/>
  <c r="M40"/>
  <c r="J175"/>
  <c r="W66"/>
  <c r="W124"/>
  <c r="W93"/>
  <c r="W59"/>
  <c r="W159"/>
  <c r="W115"/>
  <c r="W100"/>
  <c r="W61"/>
  <c r="W166"/>
  <c r="W98"/>
  <c r="N281"/>
  <c r="N292" s="1"/>
  <c r="N261"/>
  <c r="K282"/>
  <c r="K290"/>
  <c r="K294" s="1"/>
  <c r="S291"/>
  <c r="S289"/>
  <c r="S33"/>
  <c r="Z32"/>
  <c r="O281"/>
  <c r="O261"/>
  <c r="L290"/>
  <c r="L282"/>
  <c r="G258"/>
  <c r="S337"/>
  <c r="S324" s="1"/>
  <c r="O337"/>
  <c r="O324" s="1"/>
  <c r="K337"/>
  <c r="K324" s="1"/>
  <c r="P337"/>
  <c r="P324" s="1"/>
  <c r="L337"/>
  <c r="L324" s="1"/>
  <c r="Q337"/>
  <c r="Q324" s="1"/>
  <c r="M337"/>
  <c r="R337"/>
  <c r="R324" s="1"/>
  <c r="N337"/>
  <c r="N324" s="1"/>
  <c r="P316"/>
  <c r="L316"/>
  <c r="Q316"/>
  <c r="M316"/>
  <c r="R316"/>
  <c r="N316"/>
  <c r="S316"/>
  <c r="O316"/>
  <c r="K316"/>
  <c r="P361"/>
  <c r="L361"/>
  <c r="Q361"/>
  <c r="M361"/>
  <c r="R361"/>
  <c r="N361"/>
  <c r="S361"/>
  <c r="O361"/>
  <c r="K361"/>
  <c r="Q350"/>
  <c r="M350"/>
  <c r="R350"/>
  <c r="N350"/>
  <c r="S350"/>
  <c r="O350"/>
  <c r="K350"/>
  <c r="P350"/>
  <c r="L350"/>
  <c r="Q354"/>
  <c r="M354"/>
  <c r="R354"/>
  <c r="N354"/>
  <c r="S354"/>
  <c r="O354"/>
  <c r="K354"/>
  <c r="P354"/>
  <c r="L354"/>
  <c r="Q358"/>
  <c r="M358"/>
  <c r="R358"/>
  <c r="N358"/>
  <c r="S358"/>
  <c r="O358"/>
  <c r="K358"/>
  <c r="P358"/>
  <c r="L358"/>
  <c r="R339"/>
  <c r="N339"/>
  <c r="S339"/>
  <c r="O339"/>
  <c r="K339"/>
  <c r="P339"/>
  <c r="L339"/>
  <c r="Q339"/>
  <c r="M339"/>
  <c r="R343"/>
  <c r="N343"/>
  <c r="S343"/>
  <c r="O343"/>
  <c r="K343"/>
  <c r="P343"/>
  <c r="L343"/>
  <c r="Q343"/>
  <c r="M343"/>
  <c r="S400"/>
  <c r="O400"/>
  <c r="K400"/>
  <c r="P400"/>
  <c r="L400"/>
  <c r="Q400"/>
  <c r="M400"/>
  <c r="R400"/>
  <c r="N400"/>
  <c r="S404"/>
  <c r="O404"/>
  <c r="K404"/>
  <c r="P404"/>
  <c r="L404"/>
  <c r="Q404"/>
  <c r="M404"/>
  <c r="R404"/>
  <c r="N404"/>
  <c r="S408"/>
  <c r="O408"/>
  <c r="K408"/>
  <c r="P408"/>
  <c r="L408"/>
  <c r="Q408"/>
  <c r="M408"/>
  <c r="R408"/>
  <c r="N408"/>
  <c r="S412"/>
  <c r="O412"/>
  <c r="K412"/>
  <c r="P412"/>
  <c r="L412"/>
  <c r="Q412"/>
  <c r="M412"/>
  <c r="R412"/>
  <c r="N412"/>
  <c r="P391"/>
  <c r="L391"/>
  <c r="Q391"/>
  <c r="M391"/>
  <c r="R391"/>
  <c r="N391"/>
  <c r="S391"/>
  <c r="O391"/>
  <c r="K391"/>
  <c r="P395"/>
  <c r="L395"/>
  <c r="Q395"/>
  <c r="M395"/>
  <c r="R395"/>
  <c r="N395"/>
  <c r="S395"/>
  <c r="O395"/>
  <c r="K395"/>
  <c r="Q372"/>
  <c r="M372"/>
  <c r="R372"/>
  <c r="N372"/>
  <c r="O372"/>
  <c r="K372"/>
  <c r="P372"/>
  <c r="L372"/>
  <c r="Q376"/>
  <c r="M376"/>
  <c r="R376"/>
  <c r="N376"/>
  <c r="S376"/>
  <c r="O376"/>
  <c r="K376"/>
  <c r="P376"/>
  <c r="L376"/>
  <c r="Q380"/>
  <c r="M380"/>
  <c r="R380"/>
  <c r="N380"/>
  <c r="S380"/>
  <c r="O380"/>
  <c r="K380"/>
  <c r="P380"/>
  <c r="L380"/>
  <c r="Q384"/>
  <c r="M384"/>
  <c r="R384"/>
  <c r="N384"/>
  <c r="S384"/>
  <c r="O384"/>
  <c r="K384"/>
  <c r="P384"/>
  <c r="L384"/>
  <c r="L292"/>
  <c r="W232"/>
  <c r="W240" s="1"/>
  <c r="U240"/>
  <c r="J340"/>
  <c r="G340"/>
  <c r="H340"/>
  <c r="J344"/>
  <c r="G344"/>
  <c r="H344"/>
  <c r="G322"/>
  <c r="H322"/>
  <c r="J322"/>
  <c r="H316"/>
  <c r="J316"/>
  <c r="G316"/>
  <c r="H361"/>
  <c r="J361"/>
  <c r="G361"/>
  <c r="J348"/>
  <c r="G348"/>
  <c r="H348"/>
  <c r="J352"/>
  <c r="G352"/>
  <c r="H352"/>
  <c r="J356"/>
  <c r="G356"/>
  <c r="H356"/>
  <c r="G400"/>
  <c r="H400"/>
  <c r="J400"/>
  <c r="G404"/>
  <c r="H404"/>
  <c r="J404"/>
  <c r="G408"/>
  <c r="H408"/>
  <c r="J408"/>
  <c r="G412"/>
  <c r="H412"/>
  <c r="J412"/>
  <c r="H389"/>
  <c r="J389"/>
  <c r="G389"/>
  <c r="H393"/>
  <c r="J393"/>
  <c r="G393"/>
  <c r="H397"/>
  <c r="J397"/>
  <c r="G397"/>
  <c r="J374"/>
  <c r="G374"/>
  <c r="H374"/>
  <c r="J378"/>
  <c r="G378"/>
  <c r="H378"/>
  <c r="J382"/>
  <c r="G382"/>
  <c r="H382"/>
  <c r="W85"/>
  <c r="W89"/>
  <c r="N260"/>
  <c r="N262" s="1"/>
  <c r="N264" s="1"/>
  <c r="N280" s="1"/>
  <c r="W120"/>
  <c r="W87"/>
  <c r="W69"/>
  <c r="W165"/>
  <c r="V32"/>
  <c r="W267"/>
  <c r="W272" s="1"/>
  <c r="U272"/>
  <c r="H290"/>
  <c r="H294" s="1"/>
  <c r="H282"/>
  <c r="S323"/>
  <c r="O323"/>
  <c r="K323"/>
  <c r="P323"/>
  <c r="L323"/>
  <c r="Q323"/>
  <c r="M323"/>
  <c r="R323"/>
  <c r="N323"/>
  <c r="P315"/>
  <c r="L315"/>
  <c r="Q315"/>
  <c r="M315"/>
  <c r="R315"/>
  <c r="N315"/>
  <c r="S315"/>
  <c r="O315"/>
  <c r="K315"/>
  <c r="P319"/>
  <c r="L319"/>
  <c r="Q319"/>
  <c r="M319"/>
  <c r="R319"/>
  <c r="N319"/>
  <c r="S319"/>
  <c r="O319"/>
  <c r="K319"/>
  <c r="U314"/>
  <c r="I314"/>
  <c r="Q349"/>
  <c r="M349"/>
  <c r="R349"/>
  <c r="N349"/>
  <c r="S349"/>
  <c r="O349"/>
  <c r="K349"/>
  <c r="P349"/>
  <c r="L349"/>
  <c r="Q353"/>
  <c r="M353"/>
  <c r="R353"/>
  <c r="N353"/>
  <c r="S353"/>
  <c r="O353"/>
  <c r="K353"/>
  <c r="P353"/>
  <c r="L353"/>
  <c r="Q357"/>
  <c r="M357"/>
  <c r="R357"/>
  <c r="N357"/>
  <c r="S357"/>
  <c r="O357"/>
  <c r="K357"/>
  <c r="P357"/>
  <c r="L357"/>
  <c r="R342"/>
  <c r="N342"/>
  <c r="S342"/>
  <c r="O342"/>
  <c r="K342"/>
  <c r="P342"/>
  <c r="L342"/>
  <c r="Q342"/>
  <c r="M342"/>
  <c r="P364"/>
  <c r="L364"/>
  <c r="Q364"/>
  <c r="M364"/>
  <c r="S364"/>
  <c r="O364"/>
  <c r="K364"/>
  <c r="N364"/>
  <c r="R364"/>
  <c r="S403"/>
  <c r="O403"/>
  <c r="K403"/>
  <c r="P403"/>
  <c r="L403"/>
  <c r="Q403"/>
  <c r="M403"/>
  <c r="R403"/>
  <c r="N403"/>
  <c r="S407"/>
  <c r="O407"/>
  <c r="K407"/>
  <c r="P407"/>
  <c r="L407"/>
  <c r="Q407"/>
  <c r="M407"/>
  <c r="R407"/>
  <c r="N407"/>
  <c r="S411"/>
  <c r="O411"/>
  <c r="K411"/>
  <c r="P411"/>
  <c r="L411"/>
  <c r="Q411"/>
  <c r="M411"/>
  <c r="R411"/>
  <c r="N411"/>
  <c r="P390"/>
  <c r="L390"/>
  <c r="Q390"/>
  <c r="M390"/>
  <c r="R390"/>
  <c r="N390"/>
  <c r="S390"/>
  <c r="O390"/>
  <c r="K390"/>
  <c r="P394"/>
  <c r="L394"/>
  <c r="Q394"/>
  <c r="M394"/>
  <c r="R394"/>
  <c r="N394"/>
  <c r="S394"/>
  <c r="O394"/>
  <c r="K394"/>
  <c r="P398"/>
  <c r="L398"/>
  <c r="Q398"/>
  <c r="M398"/>
  <c r="R398"/>
  <c r="N398"/>
  <c r="S398"/>
  <c r="O398"/>
  <c r="K398"/>
  <c r="Q375"/>
  <c r="M375"/>
  <c r="R375"/>
  <c r="N375"/>
  <c r="S375"/>
  <c r="O375"/>
  <c r="K375"/>
  <c r="P375"/>
  <c r="L375"/>
  <c r="Q379"/>
  <c r="M379"/>
  <c r="R379"/>
  <c r="N379"/>
  <c r="S379"/>
  <c r="O379"/>
  <c r="K379"/>
  <c r="P379"/>
  <c r="L379"/>
  <c r="Q383"/>
  <c r="M383"/>
  <c r="R383"/>
  <c r="N383"/>
  <c r="S383"/>
  <c r="O383"/>
  <c r="K383"/>
  <c r="P383"/>
  <c r="L383"/>
  <c r="J339"/>
  <c r="G339"/>
  <c r="H339"/>
  <c r="J343"/>
  <c r="G343"/>
  <c r="H343"/>
  <c r="G321"/>
  <c r="H321"/>
  <c r="J321"/>
  <c r="H315"/>
  <c r="J315"/>
  <c r="G315"/>
  <c r="H319"/>
  <c r="J319"/>
  <c r="G319"/>
  <c r="J347"/>
  <c r="G347"/>
  <c r="H347"/>
  <c r="J351"/>
  <c r="G351"/>
  <c r="H351"/>
  <c r="J359"/>
  <c r="G359"/>
  <c r="H359"/>
  <c r="G403"/>
  <c r="H403"/>
  <c r="J403"/>
  <c r="G407"/>
  <c r="H407"/>
  <c r="J407"/>
  <c r="G411"/>
  <c r="H411"/>
  <c r="J411"/>
  <c r="H388"/>
  <c r="J388"/>
  <c r="G388"/>
  <c r="H392"/>
  <c r="J392"/>
  <c r="G392"/>
  <c r="H396"/>
  <c r="J396"/>
  <c r="G396"/>
  <c r="J373"/>
  <c r="G373"/>
  <c r="H373"/>
  <c r="J377"/>
  <c r="G377"/>
  <c r="H377"/>
  <c r="J381"/>
  <c r="G381"/>
  <c r="H381"/>
  <c r="J385"/>
  <c r="G385"/>
  <c r="H385"/>
  <c r="I331"/>
  <c r="U331"/>
  <c r="W184"/>
  <c r="W102"/>
  <c r="W21"/>
  <c r="W12"/>
  <c r="W88"/>
  <c r="W58"/>
  <c r="W103"/>
  <c r="W117"/>
  <c r="W71"/>
  <c r="W84"/>
  <c r="W43"/>
  <c r="O262"/>
  <c r="O264" s="1"/>
  <c r="O280" s="1"/>
  <c r="W92"/>
  <c r="W64"/>
  <c r="W107"/>
  <c r="W121"/>
  <c r="W122"/>
  <c r="W108"/>
  <c r="W167"/>
  <c r="R282"/>
  <c r="R290"/>
  <c r="R294" s="1"/>
  <c r="U326"/>
  <c r="I326"/>
  <c r="U335"/>
  <c r="I335"/>
  <c r="S322"/>
  <c r="O322"/>
  <c r="K322"/>
  <c r="P322"/>
  <c r="L322"/>
  <c r="Q322"/>
  <c r="M322"/>
  <c r="R322"/>
  <c r="N322"/>
  <c r="P318"/>
  <c r="L318"/>
  <c r="Q318"/>
  <c r="M318"/>
  <c r="R318"/>
  <c r="N318"/>
  <c r="S318"/>
  <c r="O318"/>
  <c r="K318"/>
  <c r="Q363"/>
  <c r="M363"/>
  <c r="S363"/>
  <c r="O363"/>
  <c r="L363"/>
  <c r="N363"/>
  <c r="P363"/>
  <c r="R363"/>
  <c r="K363"/>
  <c r="Q348"/>
  <c r="M348"/>
  <c r="R348"/>
  <c r="N348"/>
  <c r="S348"/>
  <c r="O348"/>
  <c r="K348"/>
  <c r="P348"/>
  <c r="L348"/>
  <c r="Q352"/>
  <c r="M352"/>
  <c r="R352"/>
  <c r="N352"/>
  <c r="S352"/>
  <c r="O352"/>
  <c r="K352"/>
  <c r="P352"/>
  <c r="L352"/>
  <c r="Q356"/>
  <c r="M356"/>
  <c r="R356"/>
  <c r="N356"/>
  <c r="S356"/>
  <c r="O356"/>
  <c r="K356"/>
  <c r="P356"/>
  <c r="L356"/>
  <c r="R341"/>
  <c r="N341"/>
  <c r="S341"/>
  <c r="O341"/>
  <c r="K341"/>
  <c r="P341"/>
  <c r="L341"/>
  <c r="Q341"/>
  <c r="M341"/>
  <c r="R345"/>
  <c r="N345"/>
  <c r="S345"/>
  <c r="O345"/>
  <c r="K345"/>
  <c r="P345"/>
  <c r="L345"/>
  <c r="Q345"/>
  <c r="M345"/>
  <c r="S402"/>
  <c r="O402"/>
  <c r="K402"/>
  <c r="P402"/>
  <c r="L402"/>
  <c r="Q402"/>
  <c r="M402"/>
  <c r="R402"/>
  <c r="N402"/>
  <c r="S406"/>
  <c r="O406"/>
  <c r="K406"/>
  <c r="P406"/>
  <c r="L406"/>
  <c r="Q406"/>
  <c r="M406"/>
  <c r="R406"/>
  <c r="N406"/>
  <c r="S410"/>
  <c r="O410"/>
  <c r="K410"/>
  <c r="P410"/>
  <c r="L410"/>
  <c r="Q410"/>
  <c r="M410"/>
  <c r="R410"/>
  <c r="N410"/>
  <c r="P389"/>
  <c r="L389"/>
  <c r="Q389"/>
  <c r="M389"/>
  <c r="R389"/>
  <c r="N389"/>
  <c r="S389"/>
  <c r="O389"/>
  <c r="K389"/>
  <c r="P393"/>
  <c r="L393"/>
  <c r="Q393"/>
  <c r="M393"/>
  <c r="R393"/>
  <c r="N393"/>
  <c r="S393"/>
  <c r="O393"/>
  <c r="K393"/>
  <c r="P397"/>
  <c r="L397"/>
  <c r="Q397"/>
  <c r="M397"/>
  <c r="R397"/>
  <c r="N397"/>
  <c r="S397"/>
  <c r="O397"/>
  <c r="K397"/>
  <c r="Q374"/>
  <c r="M374"/>
  <c r="R374"/>
  <c r="N374"/>
  <c r="S374"/>
  <c r="O374"/>
  <c r="K374"/>
  <c r="P374"/>
  <c r="L374"/>
  <c r="Q378"/>
  <c r="M378"/>
  <c r="R378"/>
  <c r="N378"/>
  <c r="S378"/>
  <c r="O378"/>
  <c r="K378"/>
  <c r="P378"/>
  <c r="L378"/>
  <c r="Q382"/>
  <c r="M382"/>
  <c r="R382"/>
  <c r="N382"/>
  <c r="S382"/>
  <c r="O382"/>
  <c r="K382"/>
  <c r="P382"/>
  <c r="L382"/>
  <c r="I386"/>
  <c r="U386"/>
  <c r="U336"/>
  <c r="I336"/>
  <c r="J342"/>
  <c r="G342"/>
  <c r="H342"/>
  <c r="G337"/>
  <c r="G324" s="1"/>
  <c r="H337"/>
  <c r="J337"/>
  <c r="H318"/>
  <c r="J318"/>
  <c r="G318"/>
  <c r="J350"/>
  <c r="G350"/>
  <c r="H350"/>
  <c r="J354"/>
  <c r="G354"/>
  <c r="H354"/>
  <c r="J358"/>
  <c r="G358"/>
  <c r="H358"/>
  <c r="G402"/>
  <c r="H402"/>
  <c r="J402"/>
  <c r="G406"/>
  <c r="H406"/>
  <c r="J406"/>
  <c r="G410"/>
  <c r="H410"/>
  <c r="J410"/>
  <c r="H364"/>
  <c r="G364"/>
  <c r="J364"/>
  <c r="H391"/>
  <c r="J391"/>
  <c r="G391"/>
  <c r="H395"/>
  <c r="J395"/>
  <c r="G395"/>
  <c r="J372"/>
  <c r="G372"/>
  <c r="H372"/>
  <c r="J376"/>
  <c r="G376"/>
  <c r="H376"/>
  <c r="J380"/>
  <c r="G380"/>
  <c r="H380"/>
  <c r="J384"/>
  <c r="G384"/>
  <c r="H384"/>
  <c r="U329"/>
  <c r="I329"/>
  <c r="R313"/>
  <c r="U195"/>
  <c r="H324"/>
  <c r="W149"/>
  <c r="W110"/>
  <c r="W78"/>
  <c r="W83"/>
  <c r="U204"/>
  <c r="W198"/>
  <c r="W204" s="1"/>
  <c r="W35"/>
  <c r="U32"/>
  <c r="W11"/>
  <c r="S205"/>
  <c r="Z204"/>
  <c r="W250"/>
  <c r="W254" s="1"/>
  <c r="U254"/>
  <c r="Z218"/>
  <c r="S219"/>
  <c r="Q292"/>
  <c r="Q294" s="1"/>
  <c r="Q282"/>
  <c r="P290"/>
  <c r="P294" s="1"/>
  <c r="P282"/>
  <c r="S321"/>
  <c r="S320" s="1"/>
  <c r="O321"/>
  <c r="O320" s="1"/>
  <c r="K321"/>
  <c r="K320" s="1"/>
  <c r="P321"/>
  <c r="P320" s="1"/>
  <c r="L321"/>
  <c r="L320" s="1"/>
  <c r="Q321"/>
  <c r="Q320" s="1"/>
  <c r="M321"/>
  <c r="R321"/>
  <c r="R320" s="1"/>
  <c r="N321"/>
  <c r="N320" s="1"/>
  <c r="P317"/>
  <c r="P313" s="1"/>
  <c r="L317"/>
  <c r="L313" s="1"/>
  <c r="Q317"/>
  <c r="M317"/>
  <c r="M313" s="1"/>
  <c r="R317"/>
  <c r="N317"/>
  <c r="S317"/>
  <c r="O317"/>
  <c r="O313" s="1"/>
  <c r="K317"/>
  <c r="K313" s="1"/>
  <c r="P362"/>
  <c r="L362"/>
  <c r="Q362"/>
  <c r="M362"/>
  <c r="R362"/>
  <c r="N362"/>
  <c r="S362"/>
  <c r="O362"/>
  <c r="K362"/>
  <c r="Q347"/>
  <c r="M347"/>
  <c r="R347"/>
  <c r="N347"/>
  <c r="S347"/>
  <c r="O347"/>
  <c r="K347"/>
  <c r="P347"/>
  <c r="L347"/>
  <c r="Q351"/>
  <c r="M351"/>
  <c r="R351"/>
  <c r="N351"/>
  <c r="S351"/>
  <c r="O351"/>
  <c r="K351"/>
  <c r="P351"/>
  <c r="L351"/>
  <c r="Q355"/>
  <c r="M355"/>
  <c r="U355" s="1"/>
  <c r="I355"/>
  <c r="R355"/>
  <c r="N355"/>
  <c r="J355"/>
  <c r="S355"/>
  <c r="O355"/>
  <c r="K355"/>
  <c r="G355"/>
  <c r="P355"/>
  <c r="L355"/>
  <c r="H355"/>
  <c r="Q359"/>
  <c r="M359"/>
  <c r="R359"/>
  <c r="N359"/>
  <c r="S359"/>
  <c r="O359"/>
  <c r="K359"/>
  <c r="P359"/>
  <c r="L359"/>
  <c r="R340"/>
  <c r="N340"/>
  <c r="S340"/>
  <c r="O340"/>
  <c r="K340"/>
  <c r="P340"/>
  <c r="L340"/>
  <c r="Q340"/>
  <c r="M340"/>
  <c r="R344"/>
  <c r="N344"/>
  <c r="S344"/>
  <c r="O344"/>
  <c r="K344"/>
  <c r="P344"/>
  <c r="L344"/>
  <c r="Q344"/>
  <c r="M344"/>
  <c r="S401"/>
  <c r="O401"/>
  <c r="K401"/>
  <c r="P401"/>
  <c r="L401"/>
  <c r="Q401"/>
  <c r="M401"/>
  <c r="R401"/>
  <c r="N401"/>
  <c r="S405"/>
  <c r="O405"/>
  <c r="K405"/>
  <c r="P405"/>
  <c r="L405"/>
  <c r="Q405"/>
  <c r="M405"/>
  <c r="R405"/>
  <c r="N405"/>
  <c r="S409"/>
  <c r="O409"/>
  <c r="K409"/>
  <c r="P409"/>
  <c r="L409"/>
  <c r="Q409"/>
  <c r="M409"/>
  <c r="R409"/>
  <c r="N409"/>
  <c r="P388"/>
  <c r="L388"/>
  <c r="Q388"/>
  <c r="M388"/>
  <c r="R388"/>
  <c r="N388"/>
  <c r="S388"/>
  <c r="O388"/>
  <c r="K388"/>
  <c r="P392"/>
  <c r="L392"/>
  <c r="Q392"/>
  <c r="M392"/>
  <c r="R392"/>
  <c r="N392"/>
  <c r="S392"/>
  <c r="O392"/>
  <c r="K392"/>
  <c r="P396"/>
  <c r="L396"/>
  <c r="Q396"/>
  <c r="M396"/>
  <c r="R396"/>
  <c r="N396"/>
  <c r="S396"/>
  <c r="O396"/>
  <c r="K396"/>
  <c r="Q373"/>
  <c r="M373"/>
  <c r="R373"/>
  <c r="N373"/>
  <c r="S373"/>
  <c r="O373"/>
  <c r="K373"/>
  <c r="P373"/>
  <c r="L373"/>
  <c r="Q377"/>
  <c r="M377"/>
  <c r="R377"/>
  <c r="N377"/>
  <c r="S377"/>
  <c r="O377"/>
  <c r="K377"/>
  <c r="P377"/>
  <c r="L377"/>
  <c r="Q381"/>
  <c r="M381"/>
  <c r="R381"/>
  <c r="N381"/>
  <c r="S381"/>
  <c r="O381"/>
  <c r="K381"/>
  <c r="P381"/>
  <c r="L381"/>
  <c r="Q385"/>
  <c r="M385"/>
  <c r="R385"/>
  <c r="N385"/>
  <c r="S385"/>
  <c r="O385"/>
  <c r="K385"/>
  <c r="P385"/>
  <c r="L385"/>
  <c r="S241"/>
  <c r="Z240"/>
  <c r="J341"/>
  <c r="G341"/>
  <c r="H341"/>
  <c r="J345"/>
  <c r="G345"/>
  <c r="H345"/>
  <c r="G323"/>
  <c r="H323"/>
  <c r="J323"/>
  <c r="H317"/>
  <c r="H313" s="1"/>
  <c r="J317"/>
  <c r="J313" s="1"/>
  <c r="G317"/>
  <c r="G313" s="1"/>
  <c r="H362"/>
  <c r="J362"/>
  <c r="G362"/>
  <c r="J349"/>
  <c r="G349"/>
  <c r="H349"/>
  <c r="J353"/>
  <c r="G353"/>
  <c r="H353"/>
  <c r="J357"/>
  <c r="G357"/>
  <c r="H357"/>
  <c r="G401"/>
  <c r="H401"/>
  <c r="J401"/>
  <c r="G405"/>
  <c r="H405"/>
  <c r="J405"/>
  <c r="G409"/>
  <c r="H409"/>
  <c r="J409"/>
  <c r="H363"/>
  <c r="J363"/>
  <c r="G363"/>
  <c r="H390"/>
  <c r="J390"/>
  <c r="G390"/>
  <c r="H394"/>
  <c r="J394"/>
  <c r="G394"/>
  <c r="H398"/>
  <c r="J398"/>
  <c r="G398"/>
  <c r="J375"/>
  <c r="G375"/>
  <c r="H375"/>
  <c r="J379"/>
  <c r="G379"/>
  <c r="H379"/>
  <c r="J383"/>
  <c r="G383"/>
  <c r="H383"/>
  <c r="W54"/>
  <c r="W168"/>
  <c r="W46"/>
  <c r="W113"/>
  <c r="W17"/>
  <c r="W101"/>
  <c r="W68"/>
  <c r="W111"/>
  <c r="M324"/>
  <c r="N313"/>
  <c r="W50"/>
  <c r="W195"/>
  <c r="J324"/>
  <c r="W106"/>
  <c r="W144"/>
  <c r="W91"/>
  <c r="W90"/>
  <c r="W169"/>
  <c r="S40" l="1"/>
  <c r="M175"/>
  <c r="N346"/>
  <c r="J244"/>
  <c r="J260"/>
  <c r="S313"/>
  <c r="Q313"/>
  <c r="I381"/>
  <c r="U381"/>
  <c r="M320"/>
  <c r="U321"/>
  <c r="I321"/>
  <c r="Q416"/>
  <c r="I374"/>
  <c r="U374"/>
  <c r="U393"/>
  <c r="I393"/>
  <c r="U406"/>
  <c r="I406"/>
  <c r="U345"/>
  <c r="I345"/>
  <c r="U363"/>
  <c r="I363"/>
  <c r="U390"/>
  <c r="I390"/>
  <c r="U403"/>
  <c r="I403"/>
  <c r="U364"/>
  <c r="I364"/>
  <c r="U342"/>
  <c r="I342"/>
  <c r="I357"/>
  <c r="U357"/>
  <c r="U319"/>
  <c r="I319"/>
  <c r="H416"/>
  <c r="N282"/>
  <c r="N290"/>
  <c r="N294" s="1"/>
  <c r="I372"/>
  <c r="M371"/>
  <c r="U372"/>
  <c r="U391"/>
  <c r="I391"/>
  <c r="U404"/>
  <c r="I404"/>
  <c r="U343"/>
  <c r="I343"/>
  <c r="G281"/>
  <c r="G292" s="1"/>
  <c r="G261"/>
  <c r="G262" s="1"/>
  <c r="G264" s="1"/>
  <c r="G280" s="1"/>
  <c r="S387"/>
  <c r="Q387"/>
  <c r="P346"/>
  <c r="W32"/>
  <c r="H371"/>
  <c r="H387"/>
  <c r="H346"/>
  <c r="G338"/>
  <c r="O371"/>
  <c r="R399"/>
  <c r="P399"/>
  <c r="P338"/>
  <c r="N338"/>
  <c r="N360"/>
  <c r="L360"/>
  <c r="I385"/>
  <c r="U385"/>
  <c r="U388"/>
  <c r="I388"/>
  <c r="M387"/>
  <c r="U401"/>
  <c r="I401"/>
  <c r="U340"/>
  <c r="I340"/>
  <c r="I359"/>
  <c r="U359"/>
  <c r="I378"/>
  <c r="U378"/>
  <c r="U397"/>
  <c r="I397"/>
  <c r="U410"/>
  <c r="I410"/>
  <c r="I348"/>
  <c r="U348"/>
  <c r="U318"/>
  <c r="I318"/>
  <c r="I375"/>
  <c r="U375"/>
  <c r="U394"/>
  <c r="I394"/>
  <c r="U407"/>
  <c r="I407"/>
  <c r="U323"/>
  <c r="I323"/>
  <c r="I376"/>
  <c r="U376"/>
  <c r="U395"/>
  <c r="I395"/>
  <c r="U408"/>
  <c r="I408"/>
  <c r="I350"/>
  <c r="U350"/>
  <c r="U316"/>
  <c r="I316"/>
  <c r="O387"/>
  <c r="L346"/>
  <c r="S346"/>
  <c r="Q346"/>
  <c r="J387"/>
  <c r="G320"/>
  <c r="H338"/>
  <c r="G399"/>
  <c r="H360"/>
  <c r="K371"/>
  <c r="R371"/>
  <c r="N399"/>
  <c r="L399"/>
  <c r="S399"/>
  <c r="L338"/>
  <c r="L365" s="1"/>
  <c r="L368" s="1"/>
  <c r="S338"/>
  <c r="S360"/>
  <c r="Q360"/>
  <c r="L294"/>
  <c r="I373"/>
  <c r="U373"/>
  <c r="U392"/>
  <c r="I392"/>
  <c r="U405"/>
  <c r="I405"/>
  <c r="U344"/>
  <c r="I344"/>
  <c r="I347"/>
  <c r="M346"/>
  <c r="U347"/>
  <c r="U317"/>
  <c r="I317"/>
  <c r="P416"/>
  <c r="I382"/>
  <c r="U382"/>
  <c r="I352"/>
  <c r="U352"/>
  <c r="O282"/>
  <c r="O290"/>
  <c r="I379"/>
  <c r="U379"/>
  <c r="U398"/>
  <c r="I398"/>
  <c r="U411"/>
  <c r="I411"/>
  <c r="I349"/>
  <c r="U349"/>
  <c r="I380"/>
  <c r="U380"/>
  <c r="U412"/>
  <c r="I412"/>
  <c r="I354"/>
  <c r="U354"/>
  <c r="U361"/>
  <c r="I361"/>
  <c r="M360"/>
  <c r="L416"/>
  <c r="O292"/>
  <c r="K416"/>
  <c r="K387"/>
  <c r="R387"/>
  <c r="P387"/>
  <c r="O346"/>
  <c r="J371"/>
  <c r="G387"/>
  <c r="J346"/>
  <c r="H320"/>
  <c r="H365" s="1"/>
  <c r="H368" s="1"/>
  <c r="H399"/>
  <c r="J360"/>
  <c r="P371"/>
  <c r="N371"/>
  <c r="Q399"/>
  <c r="O399"/>
  <c r="Q338"/>
  <c r="Q365" s="1"/>
  <c r="Q368" s="1"/>
  <c r="O338"/>
  <c r="O365" s="1"/>
  <c r="O368" s="1"/>
  <c r="O360"/>
  <c r="I377"/>
  <c r="U377"/>
  <c r="U396"/>
  <c r="I396"/>
  <c r="U409"/>
  <c r="I409"/>
  <c r="I351"/>
  <c r="U351"/>
  <c r="U362"/>
  <c r="I362"/>
  <c r="U389"/>
  <c r="I389"/>
  <c r="U402"/>
  <c r="I402"/>
  <c r="U341"/>
  <c r="I341"/>
  <c r="I356"/>
  <c r="U356"/>
  <c r="U322"/>
  <c r="I322"/>
  <c r="R416"/>
  <c r="R287"/>
  <c r="I383"/>
  <c r="U383"/>
  <c r="I353"/>
  <c r="U353"/>
  <c r="U315"/>
  <c r="U415" s="1"/>
  <c r="I315"/>
  <c r="I313" s="1"/>
  <c r="I384"/>
  <c r="U384"/>
  <c r="M399"/>
  <c r="U400"/>
  <c r="I400"/>
  <c r="I399" s="1"/>
  <c r="M338"/>
  <c r="U339"/>
  <c r="I339"/>
  <c r="I338" s="1"/>
  <c r="I358"/>
  <c r="U358"/>
  <c r="U337"/>
  <c r="I337"/>
  <c r="I324" s="1"/>
  <c r="N365"/>
  <c r="N368" s="1"/>
  <c r="N387"/>
  <c r="L387"/>
  <c r="K346"/>
  <c r="R346"/>
  <c r="G371"/>
  <c r="G346"/>
  <c r="J320"/>
  <c r="J338"/>
  <c r="J399"/>
  <c r="G360"/>
  <c r="L371"/>
  <c r="L413" s="1"/>
  <c r="Q371"/>
  <c r="K399"/>
  <c r="K338"/>
  <c r="K365" s="1"/>
  <c r="K368" s="1"/>
  <c r="R338"/>
  <c r="R365" s="1"/>
  <c r="R368" s="1"/>
  <c r="K360"/>
  <c r="R360"/>
  <c r="P360"/>
  <c r="I387" l="1"/>
  <c r="M365"/>
  <c r="M368" s="1"/>
  <c r="J246"/>
  <c r="J256" s="1"/>
  <c r="J258" s="1"/>
  <c r="I246"/>
  <c r="I256" s="1"/>
  <c r="U40"/>
  <c r="V40"/>
  <c r="S175"/>
  <c r="S372"/>
  <c r="S371" s="1"/>
  <c r="P365"/>
  <c r="P368" s="1"/>
  <c r="J365"/>
  <c r="J368" s="1"/>
  <c r="P413"/>
  <c r="I320"/>
  <c r="Z40"/>
  <c r="M176"/>
  <c r="M260"/>
  <c r="M244"/>
  <c r="Z175"/>
  <c r="S176"/>
  <c r="L415"/>
  <c r="L417" s="1"/>
  <c r="Q413"/>
  <c r="Q415" s="1"/>
  <c r="Q417" s="1"/>
  <c r="N413"/>
  <c r="N415" s="1"/>
  <c r="R413"/>
  <c r="R415" s="1"/>
  <c r="R417" s="1"/>
  <c r="O413"/>
  <c r="O415" s="1"/>
  <c r="G413"/>
  <c r="O416"/>
  <c r="G365"/>
  <c r="G368" s="1"/>
  <c r="G415" s="1"/>
  <c r="S365"/>
  <c r="S368" s="1"/>
  <c r="G282"/>
  <c r="G290"/>
  <c r="G294" s="1"/>
  <c r="N416"/>
  <c r="I360"/>
  <c r="O294"/>
  <c r="I371"/>
  <c r="I413" s="1"/>
  <c r="S413"/>
  <c r="J413"/>
  <c r="J415" s="1"/>
  <c r="I346"/>
  <c r="K413"/>
  <c r="K415" s="1"/>
  <c r="K417" s="1"/>
  <c r="H413"/>
  <c r="H415" s="1"/>
  <c r="H417" s="1"/>
  <c r="M413"/>
  <c r="M415" s="1"/>
  <c r="M246" l="1"/>
  <c r="W40"/>
  <c r="W175" s="1"/>
  <c r="U175"/>
  <c r="U282" s="1"/>
  <c r="W282" s="1"/>
  <c r="O417"/>
  <c r="P415"/>
  <c r="P417" s="1"/>
  <c r="V175"/>
  <c r="V282" s="1"/>
  <c r="S244"/>
  <c r="S246" s="1"/>
  <c r="Z246" s="1"/>
  <c r="S260"/>
  <c r="Z260" s="1"/>
  <c r="J261"/>
  <c r="J262" s="1"/>
  <c r="J264" s="1"/>
  <c r="J280" s="1"/>
  <c r="J281"/>
  <c r="J292" s="1"/>
  <c r="J299" s="1"/>
  <c r="I365"/>
  <c r="I368" s="1"/>
  <c r="I415" s="1"/>
  <c r="I258"/>
  <c r="M256"/>
  <c r="G416"/>
  <c r="G417" s="1"/>
  <c r="N417"/>
  <c r="S415"/>
  <c r="I261" l="1"/>
  <c r="I262" s="1"/>
  <c r="I264" s="1"/>
  <c r="I280" s="1"/>
  <c r="I281"/>
  <c r="I292" s="1"/>
  <c r="M258"/>
  <c r="S256"/>
  <c r="S258" s="1"/>
  <c r="J290"/>
  <c r="J282"/>
  <c r="Z244"/>
  <c r="J294" l="1"/>
  <c r="J298"/>
  <c r="I290"/>
  <c r="I294" s="1"/>
  <c r="I282"/>
  <c r="I416" s="1"/>
  <c r="I417" s="1"/>
  <c r="J288"/>
  <c r="J416"/>
  <c r="J417" s="1"/>
  <c r="M261"/>
  <c r="Z258"/>
  <c r="M281"/>
  <c r="S261"/>
  <c r="S262" s="1"/>
  <c r="S264" s="1"/>
  <c r="S280" s="1"/>
  <c r="S281"/>
  <c r="S292" s="1"/>
  <c r="S299" s="1"/>
  <c r="M292" l="1"/>
  <c r="Z281"/>
  <c r="M262"/>
  <c r="Z261"/>
  <c r="S282"/>
  <c r="S290"/>
  <c r="M264" l="1"/>
  <c r="Z262"/>
  <c r="S416"/>
  <c r="S417" s="1"/>
  <c r="W283"/>
  <c r="W284"/>
  <c r="S298"/>
  <c r="S294"/>
  <c r="M280" l="1"/>
  <c r="Z264"/>
  <c r="S296"/>
  <c r="S295"/>
  <c r="M290" l="1"/>
  <c r="M294" s="1"/>
  <c r="M282"/>
  <c r="Z280"/>
  <c r="M416" l="1"/>
  <c r="M417" s="1"/>
  <c r="Z282"/>
  <c r="Z1" s="1"/>
</calcChain>
</file>

<file path=xl/comments1.xml><?xml version="1.0" encoding="utf-8"?>
<comments xmlns="http://schemas.openxmlformats.org/spreadsheetml/2006/main">
  <authors>
    <author>Michael L. Harad</author>
    <author>Corey J. Weaver</author>
    <author>May Wen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Balance should be copied from prior year 10-K provision model and referenced back to PY 10-K.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tax returns.  Certain data will need to manually populated.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Tax effect of rate changes are determined based on rate table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Adjusted opening balances of CGTDs must be reconciled against TBB/S supporting documentation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current tax analysis.  Certain data will need to manually populated.</t>
        </r>
      </text>
    </comment>
    <comment ref="B144" authorId="1">
      <text>
        <r>
          <rPr>
            <b/>
            <sz val="8"/>
            <color indexed="81"/>
            <rFont val="Tahoma"/>
            <family val="2"/>
          </rPr>
          <t>Corey J. Weaver:</t>
        </r>
        <r>
          <rPr>
            <sz val="8"/>
            <color indexed="81"/>
            <rFont val="Tahoma"/>
            <family val="2"/>
          </rPr>
          <t xml:space="preserve">
Other Post Employment Benefit</t>
        </r>
      </text>
    </comment>
    <comment ref="J207" authorId="2">
      <text>
        <r>
          <rPr>
            <b/>
            <sz val="8"/>
            <color indexed="81"/>
            <rFont val="Tahoma"/>
            <family val="2"/>
          </rPr>
          <t>May Wen:</t>
        </r>
        <r>
          <rPr>
            <sz val="8"/>
            <color indexed="81"/>
            <rFont val="Tahoma"/>
            <family val="2"/>
          </rPr>
          <t xml:space="preserve">
2011 TBBS Adj - 1,936,232</t>
        </r>
      </text>
    </comment>
  </commentList>
</comments>
</file>

<file path=xl/comments2.xml><?xml version="1.0" encoding="utf-8"?>
<comments xmlns="http://schemas.openxmlformats.org/spreadsheetml/2006/main">
  <authors>
    <author>Michael L. Harad</author>
    <author>wenm</author>
    <author>Corey J. Weaver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Balance should be copied from prior year 10-K provision model and referenced back to PY 10-K.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tax returns.  Certain data will need to manually populated.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Tax effect of rate changes are determined based on rate table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Adjusted opening balances of CGTDs must be reconciled against TBB/S supporting documentation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current tax analysis.  Certain data will need to manually populated.</t>
        </r>
      </text>
    </comment>
    <comment ref="J37" authorId="1">
      <text>
        <r>
          <rPr>
            <b/>
            <sz val="8"/>
            <color indexed="81"/>
            <rFont val="Tahoma"/>
            <family val="2"/>
          </rPr>
          <t>wenm:</t>
        </r>
        <r>
          <rPr>
            <sz val="8"/>
            <color indexed="81"/>
            <rFont val="Tahoma"/>
            <family val="2"/>
          </rPr>
          <t xml:space="preserve">
includes $13 of tbbs adj
</t>
        </r>
      </text>
    </comment>
    <comment ref="B144" authorId="2">
      <text>
        <r>
          <rPr>
            <b/>
            <sz val="8"/>
            <color indexed="81"/>
            <rFont val="Tahoma"/>
            <family val="2"/>
          </rPr>
          <t>Corey J. Weaver:</t>
        </r>
        <r>
          <rPr>
            <sz val="8"/>
            <color indexed="81"/>
            <rFont val="Tahoma"/>
            <family val="2"/>
          </rPr>
          <t xml:space="preserve">
Other Post Employment Benefit</t>
        </r>
      </text>
    </comment>
  </commentList>
</comments>
</file>

<file path=xl/comments3.xml><?xml version="1.0" encoding="utf-8"?>
<comments xmlns="http://schemas.openxmlformats.org/spreadsheetml/2006/main">
  <authors>
    <author>Michael L. Harad</author>
    <author>Corey J. Weaver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Balance should be copied from prior year 10-K provision model and referenced back to PY 10-K.</t>
        </r>
      </text>
    </comment>
    <comment ref="H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tax returns.  Certain data will need to manually populated.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color indexed="81"/>
            <rFont val="Tahoma"/>
            <family val="2"/>
          </rPr>
          <t>Tax effect of rate changes are determined based on rate table below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L9" authorId="0">
      <text>
        <r>
          <rPr>
            <b/>
            <sz val="8"/>
            <color indexed="81"/>
            <rFont val="Tahoma"/>
            <family val="2"/>
          </rPr>
          <t>Tax basis balance sheet supporting workpaper documentation must be secured into file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>Adjusted opening balances of CGTDs must be reconciled against TBB/S supporting documentation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b/>
            <sz val="8"/>
            <color indexed="81"/>
            <rFont val="Tahoma"/>
            <family val="2"/>
          </rPr>
          <t>Populate based in Vlookup from InSource extract section below…  Reconcile against actual current tax analysis.  Certain data will need to manually populated.</t>
        </r>
      </text>
    </comment>
    <comment ref="B144" authorId="1">
      <text>
        <r>
          <rPr>
            <b/>
            <sz val="8"/>
            <color indexed="81"/>
            <rFont val="Tahoma"/>
            <family val="2"/>
          </rPr>
          <t>Corey J. Weaver:</t>
        </r>
        <r>
          <rPr>
            <sz val="8"/>
            <color indexed="81"/>
            <rFont val="Tahoma"/>
            <family val="2"/>
          </rPr>
          <t xml:space="preserve">
Other Post Employment Benefit</t>
        </r>
      </text>
    </comment>
  </commentList>
</comments>
</file>

<file path=xl/sharedStrings.xml><?xml version="1.0" encoding="utf-8"?>
<sst xmlns="http://schemas.openxmlformats.org/spreadsheetml/2006/main" count="3694" uniqueCount="804">
  <si>
    <t>Cumulative Gross Temporary Differences ["CGTD"] - Future Deductible/(Taxable) - DR/(CR)</t>
  </si>
  <si>
    <t>Deferred Tax</t>
  </si>
  <si>
    <t>Opening</t>
  </si>
  <si>
    <t>PY</t>
  </si>
  <si>
    <t>CGTD</t>
  </si>
  <si>
    <t>Regulatory/</t>
  </si>
  <si>
    <t>Adjusted</t>
  </si>
  <si>
    <t>CY</t>
  </si>
  <si>
    <t>Other</t>
  </si>
  <si>
    <t>Ending</t>
  </si>
  <si>
    <t>Total</t>
  </si>
  <si>
    <t>FAS 109 - DEFERRED TAX ANALYSIS</t>
  </si>
  <si>
    <t>Entity #</t>
  </si>
  <si>
    <t>Balance</t>
  </si>
  <si>
    <t>Provision</t>
  </si>
  <si>
    <t>2008-2009</t>
  </si>
  <si>
    <t>ITC Cum.</t>
  </si>
  <si>
    <t>M-1</t>
  </si>
  <si>
    <t>Reg A/L</t>
  </si>
  <si>
    <t>Reg ITC</t>
  </si>
  <si>
    <t>Equity</t>
  </si>
  <si>
    <t xml:space="preserve">CY </t>
  </si>
  <si>
    <t>Deferred</t>
  </si>
  <si>
    <t>Company:</t>
  </si>
  <si>
    <t>Kentucky - American Water Company</t>
  </si>
  <si>
    <t>To</t>
  </si>
  <si>
    <t>FIN48 Repair</t>
  </si>
  <si>
    <t>Basis</t>
  </si>
  <si>
    <t>Movement</t>
  </si>
  <si>
    <t>Adjustment</t>
  </si>
  <si>
    <t>Tax</t>
  </si>
  <si>
    <t xml:space="preserve">Tax </t>
  </si>
  <si>
    <t>Entitie(s)</t>
  </si>
  <si>
    <t>Stand-alone regulated entity</t>
  </si>
  <si>
    <t>Current Col.</t>
  </si>
  <si>
    <t>Return</t>
  </si>
  <si>
    <t>Rate Change</t>
  </si>
  <si>
    <t>Sheet Adjust.</t>
  </si>
  <si>
    <t>Asset</t>
  </si>
  <si>
    <t>Liability</t>
  </si>
  <si>
    <t>FYE:</t>
  </si>
  <si>
    <t>Reconciliation</t>
  </si>
  <si>
    <t>(Gross)</t>
  </si>
  <si>
    <t>A/(L)</t>
  </si>
  <si>
    <t xml:space="preserve">InSource </t>
  </si>
  <si>
    <t>JDE CCC</t>
  </si>
  <si>
    <t>Reg Report</t>
  </si>
  <si>
    <t>TBBS</t>
  </si>
  <si>
    <t>Audit</t>
  </si>
  <si>
    <t>Must Agree</t>
  </si>
  <si>
    <r>
      <t>See Rate Table</t>
    </r>
    <r>
      <rPr>
        <sz val="9"/>
        <color indexed="10"/>
        <rFont val="Arial Narrow"/>
        <family val="2"/>
      </rPr>
      <t>┌DD</t>
    </r>
  </si>
  <si>
    <t>Attach</t>
  </si>
  <si>
    <t>Effective Deferred Rate</t>
  </si>
  <si>
    <t>JE Ref:</t>
  </si>
  <si>
    <t>JE Name:</t>
  </si>
  <si>
    <t>Account #</t>
  </si>
  <si>
    <t>F/N Sort Code</t>
  </si>
  <si>
    <t>Trail</t>
  </si>
  <si>
    <t>To PY Report</t>
  </si>
  <si>
    <t>To P2R Rec</t>
  </si>
  <si>
    <t>N/A</t>
  </si>
  <si>
    <t>Explanation</t>
  </si>
  <si>
    <t>ETR Impact</t>
  </si>
  <si>
    <t>to Adj. TBB/S</t>
  </si>
  <si>
    <t>to Current</t>
  </si>
  <si>
    <t>(Unless Otherwise Indicated)</t>
  </si>
  <si>
    <t>Current Temporary Differences</t>
  </si>
  <si>
    <t>T220</t>
  </si>
  <si>
    <t>A7</t>
  </si>
  <si>
    <t>L5.31</t>
  </si>
  <si>
    <t xml:space="preserve">    A</t>
  </si>
  <si>
    <t>T005</t>
  </si>
  <si>
    <t>A7.60</t>
  </si>
  <si>
    <t>Z022</t>
  </si>
  <si>
    <t>ZZ37</t>
  </si>
  <si>
    <t>T010</t>
  </si>
  <si>
    <t>L5</t>
  </si>
  <si>
    <t>A7.10</t>
  </si>
  <si>
    <t>ZZ09</t>
  </si>
  <si>
    <t>T215</t>
  </si>
  <si>
    <t>T015</t>
  </si>
  <si>
    <t>A7.25</t>
  </si>
  <si>
    <t>ZZ14</t>
  </si>
  <si>
    <t>ZZ15</t>
  </si>
  <si>
    <t>T210</t>
  </si>
  <si>
    <t>T216</t>
  </si>
  <si>
    <t>XXXX</t>
  </si>
  <si>
    <t>Pre-Tax Difference</t>
  </si>
  <si>
    <t>A10.00</t>
  </si>
  <si>
    <t>Open</t>
  </si>
  <si>
    <t>L1.10</t>
  </si>
  <si>
    <t>Minority Interest</t>
  </si>
  <si>
    <t>STEP Adjustment</t>
  </si>
  <si>
    <t>L1</t>
  </si>
  <si>
    <t>Other Adjustment to Tie Detail to G/L</t>
  </si>
  <si>
    <t>L10.00</t>
  </si>
  <si>
    <t>Accrued Bonus</t>
  </si>
  <si>
    <t>Other P2R adj (AWE-US)</t>
  </si>
  <si>
    <t>Open (Insert Description)</t>
  </si>
  <si>
    <t>Subtotal Current Temporary Differences</t>
  </si>
  <si>
    <t>∑:A                 FN1</t>
  </si>
  <si>
    <t>FN2</t>
  </si>
  <si>
    <t xml:space="preserve"> </t>
  </si>
  <si>
    <t>Long-Term Temporary Differences (Non-Reg)</t>
  </si>
  <si>
    <t>T145</t>
  </si>
  <si>
    <t xml:space="preserve">   ' B</t>
  </si>
  <si>
    <t>T151</t>
  </si>
  <si>
    <t>L1.34</t>
  </si>
  <si>
    <t>ZZ01</t>
  </si>
  <si>
    <t>T047</t>
  </si>
  <si>
    <t>ZZ02</t>
  </si>
  <si>
    <t>ZZ03</t>
  </si>
  <si>
    <t>T045</t>
  </si>
  <si>
    <t>L1.20</t>
  </si>
  <si>
    <t>T049</t>
  </si>
  <si>
    <t>T060</t>
  </si>
  <si>
    <t>T062</t>
  </si>
  <si>
    <t>T063</t>
  </si>
  <si>
    <t>L1.21</t>
  </si>
  <si>
    <t>ZZ04</t>
  </si>
  <si>
    <t>ZZ07</t>
  </si>
  <si>
    <t>ZZ08</t>
  </si>
  <si>
    <t>T050</t>
  </si>
  <si>
    <t>L2.10</t>
  </si>
  <si>
    <t>T048</t>
  </si>
  <si>
    <t>T075</t>
  </si>
  <si>
    <t>L1.33</t>
  </si>
  <si>
    <t>ZZ05</t>
  </si>
  <si>
    <t>T070</t>
  </si>
  <si>
    <t>ZZ06</t>
  </si>
  <si>
    <t>ZZ36</t>
  </si>
  <si>
    <t>L2.25</t>
  </si>
  <si>
    <t>ZZ29</t>
  </si>
  <si>
    <t>T175</t>
  </si>
  <si>
    <t>L2</t>
  </si>
  <si>
    <t>L2.33</t>
  </si>
  <si>
    <t>T170</t>
  </si>
  <si>
    <t>L5.10</t>
  </si>
  <si>
    <t>T100</t>
  </si>
  <si>
    <t>A7.31</t>
  </si>
  <si>
    <t>ZZ10</t>
  </si>
  <si>
    <t>T040</t>
  </si>
  <si>
    <t>Z023</t>
  </si>
  <si>
    <t>ZZ40</t>
  </si>
  <si>
    <t>JE#  ZZ40  SCRAP SALES</t>
  </si>
  <si>
    <t>A1</t>
  </si>
  <si>
    <t>L1.25</t>
  </si>
  <si>
    <t>T186</t>
  </si>
  <si>
    <t>L7.00</t>
  </si>
  <si>
    <t>U101</t>
  </si>
  <si>
    <t>T187</t>
  </si>
  <si>
    <t>U102</t>
  </si>
  <si>
    <t>T146</t>
  </si>
  <si>
    <t>L5.50</t>
  </si>
  <si>
    <t>T147</t>
  </si>
  <si>
    <t>L5.51</t>
  </si>
  <si>
    <t>Z019</t>
  </si>
  <si>
    <t>T165</t>
  </si>
  <si>
    <t>Z004</t>
  </si>
  <si>
    <t>ZZ28</t>
  </si>
  <si>
    <t>T064</t>
  </si>
  <si>
    <t>T160</t>
  </si>
  <si>
    <t>Z006</t>
  </si>
  <si>
    <t>T085</t>
  </si>
  <si>
    <t>T030</t>
  </si>
  <si>
    <t>Z020</t>
  </si>
  <si>
    <t>T086</t>
  </si>
  <si>
    <t>ZZ41</t>
  </si>
  <si>
    <t>T190</t>
  </si>
  <si>
    <t>L8.00</t>
  </si>
  <si>
    <t>T191</t>
  </si>
  <si>
    <t>T140</t>
  </si>
  <si>
    <t>A3</t>
  </si>
  <si>
    <t>A3.10</t>
  </si>
  <si>
    <t>T130</t>
  </si>
  <si>
    <t>A5</t>
  </si>
  <si>
    <t>A5.10</t>
  </si>
  <si>
    <t>ZZ13</t>
  </si>
  <si>
    <t>T090</t>
  </si>
  <si>
    <t>T095</t>
  </si>
  <si>
    <t>T150</t>
  </si>
  <si>
    <t>T046</t>
  </si>
  <si>
    <t>T110</t>
  </si>
  <si>
    <t>T105</t>
  </si>
  <si>
    <t>T185</t>
  </si>
  <si>
    <t>L6</t>
  </si>
  <si>
    <t>L6.00</t>
  </si>
  <si>
    <t>U100</t>
  </si>
  <si>
    <t>T200</t>
  </si>
  <si>
    <t>Z015</t>
  </si>
  <si>
    <t>Z016</t>
  </si>
  <si>
    <t>T115</t>
  </si>
  <si>
    <t>A7.50</t>
  </si>
  <si>
    <t>ZZ38</t>
  </si>
  <si>
    <t>T152</t>
  </si>
  <si>
    <t>T025</t>
  </si>
  <si>
    <t>A1.10</t>
  </si>
  <si>
    <t>T166</t>
  </si>
  <si>
    <t>T167</t>
  </si>
  <si>
    <t>ZZ27</t>
  </si>
  <si>
    <t>U103</t>
  </si>
  <si>
    <t>T131</t>
  </si>
  <si>
    <t>A5.20</t>
  </si>
  <si>
    <t>ZZ23</t>
  </si>
  <si>
    <t>T132</t>
  </si>
  <si>
    <t>ZZ24</t>
  </si>
  <si>
    <t>T135</t>
  </si>
  <si>
    <t>ZZ25</t>
  </si>
  <si>
    <t>T180</t>
  </si>
  <si>
    <t>T141</t>
  </si>
  <si>
    <t>T142</t>
  </si>
  <si>
    <t>A3.11</t>
  </si>
  <si>
    <t>T120</t>
  </si>
  <si>
    <t>A9.10</t>
  </si>
  <si>
    <t>T121</t>
  </si>
  <si>
    <t>T122</t>
  </si>
  <si>
    <t>A9.20</t>
  </si>
  <si>
    <t>ZZ26</t>
  </si>
  <si>
    <t>T123</t>
  </si>
  <si>
    <t>T124</t>
  </si>
  <si>
    <t>ZZ39</t>
  </si>
  <si>
    <t>T021</t>
  </si>
  <si>
    <t>T026</t>
  </si>
  <si>
    <t>T161</t>
  </si>
  <si>
    <t>T020</t>
  </si>
  <si>
    <t>ZZ32</t>
  </si>
  <si>
    <t>ZZ30</t>
  </si>
  <si>
    <t>ZZ35</t>
  </si>
  <si>
    <t>T061</t>
  </si>
  <si>
    <t>T080</t>
  </si>
  <si>
    <t>T081</t>
  </si>
  <si>
    <t>T082</t>
  </si>
  <si>
    <t>T083</t>
  </si>
  <si>
    <t>Z000</t>
  </si>
  <si>
    <t>JE#  Z000  Prov/Rtn Adjustment - R&amp;D</t>
  </si>
  <si>
    <t>Z001</t>
  </si>
  <si>
    <t>JE#  Z001  Prov/Rtn Adj-Env. Tax</t>
  </si>
  <si>
    <t>A6.00</t>
  </si>
  <si>
    <t>Z005</t>
  </si>
  <si>
    <t>JE#  Z005  Prov/Rtn Adjustment - Taxable Advances</t>
  </si>
  <si>
    <t>Z007</t>
  </si>
  <si>
    <t>JE#  Z007  Prov/Rtn adjustment - Nondeductible penalties</t>
  </si>
  <si>
    <t>Z010</t>
  </si>
  <si>
    <t>JE#  Z010  Prov/Rtn Adjustment - Non-Deductible Donations</t>
  </si>
  <si>
    <t>Z017</t>
  </si>
  <si>
    <t>JE#  Z017  Prov/Rtn Adj. - From K-1-Char.Contributions</t>
  </si>
  <si>
    <t>P085</t>
  </si>
  <si>
    <t>JE# P085 Net Negative Salvage</t>
  </si>
  <si>
    <t>Z021</t>
  </si>
  <si>
    <t>JE#  Z021  Prov/Rtn Adj - SIT Unamortized ITC (SIT 3)</t>
  </si>
  <si>
    <t>ZZ33</t>
  </si>
  <si>
    <t>JE#  ZZ33  Def Hist - Curr Def SIT/LIT a/c 236320</t>
  </si>
  <si>
    <t>ZZ34</t>
  </si>
  <si>
    <t>JE#  ZZ34  Def Hist - Noncurrent Def SIT/LIT a/c 253220</t>
  </si>
  <si>
    <t>T225</t>
  </si>
  <si>
    <t>Adj DT booked on CIAC tax offsets - 2001-2003</t>
  </si>
  <si>
    <t>Red Asset-Salisbury TD rate change</t>
  </si>
  <si>
    <t>L4.00</t>
  </si>
  <si>
    <t>Taxable Contributions SIT (CIAC 4) - PA Only</t>
  </si>
  <si>
    <t>Reclass in L1</t>
  </si>
  <si>
    <t>JE#  T175  Premium amortization</t>
  </si>
  <si>
    <t>Add Back Maint Exp ARO/Net Neg Salvage (Acct# 675110)</t>
  </si>
  <si>
    <t>PA - Preferred Dividend paid credit</t>
  </si>
  <si>
    <t>PA - PGW - amortization of deferred debt from acquisition</t>
  </si>
  <si>
    <t>IN - Debt discount - tax adjustment</t>
  </si>
  <si>
    <t>Other Purch. Acctg Adj to Goodwill - Depreciation</t>
  </si>
  <si>
    <t>Concession Fees</t>
  </si>
  <si>
    <t>Main Cleaning and Lining</t>
  </si>
  <si>
    <t>L1.32</t>
  </si>
  <si>
    <t>Capitalized Interest</t>
  </si>
  <si>
    <t>Accrued Warranty</t>
  </si>
  <si>
    <t>Accrued Purchases</t>
  </si>
  <si>
    <t>FIN 48 Liability - Repair Expense</t>
  </si>
  <si>
    <t>Carbon Leases</t>
  </si>
  <si>
    <t>Tax Amortization - 338 (h)10</t>
  </si>
  <si>
    <t>L3.00</t>
  </si>
  <si>
    <t>T235</t>
  </si>
  <si>
    <t>Repairs Expense</t>
  </si>
  <si>
    <t>T236</t>
  </si>
  <si>
    <t>Litigation Reserve</t>
  </si>
  <si>
    <t>T230</t>
  </si>
  <si>
    <t>FAS 123 (r) Stock Options - Acct #501716</t>
  </si>
  <si>
    <t>A7.70</t>
  </si>
  <si>
    <t>T231</t>
  </si>
  <si>
    <t>FAS 123 (r) Restricted Stock Gift - Acct #501717</t>
  </si>
  <si>
    <t>T232</t>
  </si>
  <si>
    <t>FAS 123 (r) Restricted Stock Units - Acct #501718</t>
  </si>
  <si>
    <t>T233</t>
  </si>
  <si>
    <t>FAS 123 (r) ESPP  - Acct #508200</t>
  </si>
  <si>
    <t>T234</t>
  </si>
  <si>
    <t>MTBE Settlement</t>
  </si>
  <si>
    <t>A7.80</t>
  </si>
  <si>
    <t>Subtotal Long Term Temporary Differences (Non-Reg)</t>
  </si>
  <si>
    <t>∑:B</t>
  </si>
  <si>
    <t>Income Taxes Recoverable Through Rates - Non-ITC</t>
  </si>
  <si>
    <t xml:space="preserve">    C</t>
  </si>
  <si>
    <t>0001</t>
  </si>
  <si>
    <t>L4</t>
  </si>
  <si>
    <t>0002</t>
  </si>
  <si>
    <t>0003</t>
  </si>
  <si>
    <t>0004</t>
  </si>
  <si>
    <t>0005</t>
  </si>
  <si>
    <t>0008</t>
  </si>
  <si>
    <t>0009</t>
  </si>
  <si>
    <t>0010</t>
  </si>
  <si>
    <t>0011</t>
  </si>
  <si>
    <t>0012</t>
  </si>
  <si>
    <t>0013</t>
  </si>
  <si>
    <t>Other - adjust for 13th month - Non ITC</t>
  </si>
  <si>
    <t>Reg Asset for Medicare Subsidy</t>
  </si>
  <si>
    <t xml:space="preserve">Other   </t>
  </si>
  <si>
    <t>Subtotal Income Taxes Recoverable Through Rates - Not ITC</t>
  </si>
  <si>
    <t>∑:C</t>
  </si>
  <si>
    <t>Deferred Investment Tax Credits</t>
  </si>
  <si>
    <t>0006</t>
  </si>
  <si>
    <t>A2</t>
  </si>
  <si>
    <t>A2.00</t>
  </si>
  <si>
    <t xml:space="preserve">     D</t>
  </si>
  <si>
    <t>0007</t>
  </si>
  <si>
    <t>Other - adjust for 13th month - ITC</t>
  </si>
  <si>
    <t>Subtotal Deferred Investment Tax Credits</t>
  </si>
  <si>
    <t>∑:D</t>
  </si>
  <si>
    <t>FEDERAL ONLY Taxable Differences (NOT CREDITS)</t>
  </si>
  <si>
    <t>0014</t>
  </si>
  <si>
    <t>A4</t>
  </si>
  <si>
    <t>A4.10</t>
  </si>
  <si>
    <t xml:space="preserve">     E</t>
  </si>
  <si>
    <t>Contribution Carryforward Converted to NOL</t>
  </si>
  <si>
    <t>0015</t>
  </si>
  <si>
    <t>Charitable Contribution</t>
  </si>
  <si>
    <t>A4.30</t>
  </si>
  <si>
    <t>Other Unidentified Difference - Reconciling adj to opening balance</t>
  </si>
  <si>
    <t>Other Adjustment</t>
  </si>
  <si>
    <t>FIN 48 Repairs Adj.</t>
  </si>
  <si>
    <t>FIN 48 Repairs Adj. - Other DTA - federal benefit of state FIN 48 Liab</t>
  </si>
  <si>
    <t>A7.50F</t>
  </si>
  <si>
    <t>Subtotal Tax Losses and Credits</t>
  </si>
  <si>
    <t>∑:E</t>
  </si>
  <si>
    <t>(Tax Effected at 35%)</t>
  </si>
  <si>
    <t>Pre-Tax Difference from 2004 year end quick close</t>
  </si>
  <si>
    <t xml:space="preserve">     F</t>
  </si>
  <si>
    <t>Other Unidentified Difference</t>
  </si>
  <si>
    <t>Capital Loss C/F - TWH LLC</t>
  </si>
  <si>
    <t>A8</t>
  </si>
  <si>
    <t>Other/Valuation Allowances - TWH LLC</t>
  </si>
  <si>
    <t>VA</t>
  </si>
  <si>
    <t>Capital Loss C/F - Mobile Residuals (AWE)</t>
  </si>
  <si>
    <t>A4.15</t>
  </si>
  <si>
    <t>Capial Loss Valualtion Allowance - Mobile Residuals (AWE)</t>
  </si>
  <si>
    <t>Subtotal Other</t>
  </si>
  <si>
    <t>∑:F</t>
  </si>
  <si>
    <t>STATE ONLY Tax Deferred Basis Differences (NOT CREDITS)</t>
  </si>
  <si>
    <t>NOL</t>
  </si>
  <si>
    <t>A4.45</t>
  </si>
  <si>
    <t xml:space="preserve">     G</t>
  </si>
  <si>
    <t>Contribution Carryforward (State Piece)</t>
  </si>
  <si>
    <t>A4.47</t>
  </si>
  <si>
    <t>Fixed Asset Bonus Depreciation</t>
  </si>
  <si>
    <t>L1.36</t>
  </si>
  <si>
    <t>A4.48</t>
  </si>
  <si>
    <t>State Only Depreciation (AZ)</t>
  </si>
  <si>
    <t xml:space="preserve">Unitary adjustment </t>
  </si>
  <si>
    <t xml:space="preserve">FIN 48 Repairs Adj. </t>
  </si>
  <si>
    <t>∑:G</t>
  </si>
  <si>
    <t>(Tax Effected at State Net of Federal)</t>
  </si>
  <si>
    <t>State GCTD</t>
  </si>
  <si>
    <t>Total State GCTD</t>
  </si>
  <si>
    <t>H=∑:A+B+C+D+F+G</t>
  </si>
  <si>
    <t>State Effective Tax Rate</t>
  </si>
  <si>
    <t>I</t>
  </si>
  <si>
    <t>Deferred State Tax (without State Credits)</t>
  </si>
  <si>
    <t>J=H*I</t>
  </si>
  <si>
    <t>see BB ┐</t>
  </si>
  <si>
    <t>RS1</t>
  </si>
  <si>
    <t>IS1</t>
  </si>
  <si>
    <t>State Credits</t>
  </si>
  <si>
    <t>State ITC (Gross)</t>
  </si>
  <si>
    <t xml:space="preserve">   K</t>
  </si>
  <si>
    <t>A4.46</t>
  </si>
  <si>
    <t>Total State Credits</t>
  </si>
  <si>
    <t>∑:K</t>
  </si>
  <si>
    <t>(State credits valued net of Federal benefit)</t>
  </si>
  <si>
    <t>Deferred State Tax (with State Credits)</t>
  </si>
  <si>
    <t>Less: State Valuation Allowance</t>
  </si>
  <si>
    <t>Total Deferred State Tax</t>
  </si>
  <si>
    <t>Total Federal GCTD</t>
  </si>
  <si>
    <t>L=∑:A+B+C+D+E+F</t>
  </si>
  <si>
    <t>Less Deferred State Tax</t>
  </si>
  <si>
    <t>└J</t>
  </si>
  <si>
    <t>Federal Taxable GCTD</t>
  </si>
  <si>
    <t>M=∑:J+K+L</t>
  </si>
  <si>
    <t>Federal Effective Tax Rate</t>
  </si>
  <si>
    <t>N</t>
  </si>
  <si>
    <t>Deferred Federal Tax (without Federal Credits)</t>
  </si>
  <si>
    <t>O=M*N</t>
  </si>
  <si>
    <t>see AA ┐</t>
  </si>
  <si>
    <t>RF1</t>
  </si>
  <si>
    <t>IF1</t>
  </si>
  <si>
    <t>Federal Credits</t>
  </si>
  <si>
    <t>AMT</t>
  </si>
  <si>
    <t>A4.20</t>
  </si>
  <si>
    <t xml:space="preserve">    P</t>
  </si>
  <si>
    <t>R&amp;D</t>
  </si>
  <si>
    <t>A4.35</t>
  </si>
  <si>
    <t>Salisbury AMT Credit</t>
  </si>
  <si>
    <t>Total Federal Credits</t>
  </si>
  <si>
    <t>∑:P</t>
  </si>
  <si>
    <t>(Valued at 100%)</t>
  </si>
  <si>
    <t>Equity Items (Tax Effected)</t>
  </si>
  <si>
    <t>Minimum Pension Liability</t>
  </si>
  <si>
    <t xml:space="preserve">     Q</t>
  </si>
  <si>
    <t>∑:Q</t>
  </si>
  <si>
    <t>(Valued as tax effected)</t>
  </si>
  <si>
    <t>Total Deferred Federal</t>
  </si>
  <si>
    <t>R=∑:O+P+Q      FN3</t>
  </si>
  <si>
    <t>FN4</t>
  </si>
  <si>
    <t>Total Deferred State</t>
  </si>
  <si>
    <t>S=∑:J+K           FN5</t>
  </si>
  <si>
    <t>FN6</t>
  </si>
  <si>
    <t>Total Deferred Tax</t>
  </si>
  <si>
    <t>DT1</t>
  </si>
  <si>
    <t>DT2</t>
  </si>
  <si>
    <t>DT3</t>
  </si>
  <si>
    <t>DT4</t>
  </si>
  <si>
    <t>DT5</t>
  </si>
  <si>
    <t>DT6</t>
  </si>
  <si>
    <t>DT7</t>
  </si>
  <si>
    <t>DT8</t>
  </si>
  <si>
    <t>DT9</t>
  </si>
  <si>
    <t>DT10</t>
  </si>
  <si>
    <t>DT11</t>
  </si>
  <si>
    <t>DT12</t>
  </si>
  <si>
    <t>DT13</t>
  </si>
  <si>
    <t>Fed P2R</t>
  </si>
  <si>
    <t>SepCo Adj</t>
  </si>
  <si>
    <t>FIN49 True Up</t>
  </si>
  <si>
    <t>Unreconciled:</t>
  </si>
  <si>
    <t>State P2R</t>
  </si>
  <si>
    <t>SepCo Sud</t>
  </si>
  <si>
    <t>FIN48 True Up</t>
  </si>
  <si>
    <t>TBBS Adj</t>
  </si>
  <si>
    <t>DTA (DTL)</t>
  </si>
  <si>
    <t>Adj. needed to tie to Sepco Pd 13</t>
  </si>
  <si>
    <t>Federal - Current</t>
  </si>
  <si>
    <t>Federal - NonCurrent</t>
  </si>
  <si>
    <t>State - Current</t>
  </si>
  <si>
    <t>State - NonCurrent</t>
  </si>
  <si>
    <t>Without Other Adjustment</t>
  </si>
  <si>
    <t>NonCurrent - Federal</t>
  </si>
  <si>
    <t>NonCurrent - State</t>
  </si>
  <si>
    <t>Deferred Tax Rates (Used for Regulatory Reporting)</t>
  </si>
  <si>
    <t>Change</t>
  </si>
  <si>
    <t>Federal Income Tax</t>
  </si>
  <si>
    <t>FN7</t>
  </si>
  <si>
    <t>AA ┘</t>
  </si>
  <si>
    <t>State Income Tax (Sepco) - GROSS  (indicate if Reg or Stat Rate)------&gt;</t>
  </si>
  <si>
    <t>Regulatory Rate</t>
  </si>
  <si>
    <t>FN8</t>
  </si>
  <si>
    <t>BB ┘</t>
  </si>
  <si>
    <t>Net of Federal Benefit</t>
  </si>
  <si>
    <t>FN9</t>
  </si>
  <si>
    <t>CC=BB*(1-AA)</t>
  </si>
  <si>
    <t>Total (Net)</t>
  </si>
  <si>
    <t>DD=∑:AA+CC ┘</t>
  </si>
  <si>
    <t>Reconciliation to Footnote in F/S</t>
  </si>
  <si>
    <t>Deferred Tax Footnote</t>
  </si>
  <si>
    <t>PY Rate</t>
  </si>
  <si>
    <t>Deferred Tax Assets:</t>
  </si>
  <si>
    <t>A1 - Advances &amp; contributions</t>
  </si>
  <si>
    <t>A1.00</t>
  </si>
  <si>
    <t>DTA</t>
  </si>
  <si>
    <t>Book Cost</t>
  </si>
  <si>
    <t>Tax Cost</t>
  </si>
  <si>
    <t>A1.20</t>
  </si>
  <si>
    <t>Book Amortization</t>
  </si>
  <si>
    <t>A1.25</t>
  </si>
  <si>
    <t>Tax Amortization</t>
  </si>
  <si>
    <t>A1.30</t>
  </si>
  <si>
    <t>Accrued Interest - AFUDC - Tax</t>
  </si>
  <si>
    <t>A2 - Deferred investment tax credits</t>
  </si>
  <si>
    <t>A3 - Other postretirement benefits (OPEBS)</t>
  </si>
  <si>
    <t>A3.00</t>
  </si>
  <si>
    <t>OPEB</t>
  </si>
  <si>
    <t>PBOP Group Insurance</t>
  </si>
  <si>
    <t>Medicare Reclass (Top up DTA)</t>
  </si>
  <si>
    <t>A3.12</t>
  </si>
  <si>
    <t>A4 - Tax Losses and Credits</t>
  </si>
  <si>
    <t>A4.00</t>
  </si>
  <si>
    <t>FIT - NOL</t>
  </si>
  <si>
    <t>FIT Only</t>
  </si>
  <si>
    <t>FIT - CAP Loss Credits</t>
  </si>
  <si>
    <t xml:space="preserve">FIT - AMT </t>
  </si>
  <si>
    <t>100%</t>
  </si>
  <si>
    <t>FIT - Fuel Credit</t>
  </si>
  <si>
    <t>A4.25</t>
  </si>
  <si>
    <t>FIT - Contribution C/F</t>
  </si>
  <si>
    <t>FIT - R&amp;D</t>
  </si>
  <si>
    <t>FIT - Open</t>
  </si>
  <si>
    <t>A4.40</t>
  </si>
  <si>
    <t>A4.41</t>
  </si>
  <si>
    <t>SIT - NOL</t>
  </si>
  <si>
    <t>SIT Only</t>
  </si>
  <si>
    <t>SIT - AMT</t>
  </si>
  <si>
    <t>SIT - Contribution C/F</t>
  </si>
  <si>
    <t>SIT - Other State Only Adjustments</t>
  </si>
  <si>
    <t>SIT - Open</t>
  </si>
  <si>
    <t>A4.49</t>
  </si>
  <si>
    <t>A5 - Pension Benefits</t>
  </si>
  <si>
    <t>A5.00</t>
  </si>
  <si>
    <t>Pension</t>
  </si>
  <si>
    <t>Accelerated cash payments for funding pension</t>
  </si>
  <si>
    <t>Accelerated cash payments for funding pension - Cap</t>
  </si>
  <si>
    <t>A5.25</t>
  </si>
  <si>
    <t>SERP</t>
  </si>
  <si>
    <t>A5.30</t>
  </si>
  <si>
    <t>Supplemental Pension Expense - Tax (Inactive)</t>
  </si>
  <si>
    <t>A5.35</t>
  </si>
  <si>
    <t>SERP and SRP Expenses - Tax (Indiana)</t>
  </si>
  <si>
    <t>A5.40</t>
  </si>
  <si>
    <t>A6 - Long Term Debt</t>
  </si>
  <si>
    <t>A7 - Other</t>
  </si>
  <si>
    <t>A7.00</t>
  </si>
  <si>
    <t>Deferred Vacation pay</t>
  </si>
  <si>
    <t>Accrued Vacation Pay</t>
  </si>
  <si>
    <t>A7.11</t>
  </si>
  <si>
    <t>Vacation payments made within 2.5 months of y/e</t>
  </si>
  <si>
    <t>A7.15</t>
  </si>
  <si>
    <t>Customer Deposits</t>
  </si>
  <si>
    <t>A7.20</t>
  </si>
  <si>
    <t>Customer Deposits - Manual entry</t>
  </si>
  <si>
    <t>Debt Discount</t>
  </si>
  <si>
    <t>A7.30</t>
  </si>
  <si>
    <t>Amortization of Debt Discount - Tax</t>
  </si>
  <si>
    <t>Inventive Plan</t>
  </si>
  <si>
    <t>A7.40</t>
  </si>
  <si>
    <t>Deferred Debits Analyzed</t>
  </si>
  <si>
    <t>Other DTA's not already coded</t>
  </si>
  <si>
    <t>Restricted Stock</t>
  </si>
  <si>
    <t>A8 - Capital Loss not Utilized</t>
  </si>
  <si>
    <t>A8.00</t>
  </si>
  <si>
    <t>A9 - Incentive Plan</t>
  </si>
  <si>
    <t>A9.00</t>
  </si>
  <si>
    <t>Incentive</t>
  </si>
  <si>
    <t>Accelerated incentive adjustment - tax - AWWS</t>
  </si>
  <si>
    <t>Accelerated incentive adjustment - tax</t>
  </si>
  <si>
    <t>A9.25</t>
  </si>
  <si>
    <t>A10 - TBBS Unidentified Balances</t>
  </si>
  <si>
    <t>Subtotal Gross DTA</t>
  </si>
  <si>
    <t>Valuation Allowance (enter as Neg.)</t>
  </si>
  <si>
    <t>Subtotal Net DTA</t>
  </si>
  <si>
    <t>Deferred Tax Liabilities:</t>
  </si>
  <si>
    <t>L1 - Utility plant, primarily depreciation</t>
  </si>
  <si>
    <t>L1.00</t>
  </si>
  <si>
    <t>DTL</t>
  </si>
  <si>
    <t>Historic Book Cost</t>
  </si>
  <si>
    <t>Historic TAX Cost</t>
  </si>
  <si>
    <t>L1.15</t>
  </si>
  <si>
    <t>Accum. Book Depreciation</t>
  </si>
  <si>
    <t>FAS 143 ARO / NNS</t>
  </si>
  <si>
    <t>Accum. TAX Depreciation</t>
  </si>
  <si>
    <t>L1.26</t>
  </si>
  <si>
    <t>Flow Thru Dep'n - Reclass up to Perm (MO Only)</t>
  </si>
  <si>
    <t>L1.27</t>
  </si>
  <si>
    <t>Capitalize Tank Painting Costs</t>
  </si>
  <si>
    <t>L1.28</t>
  </si>
  <si>
    <t>Tax Losses - Ordinary</t>
  </si>
  <si>
    <t>L1.29</t>
  </si>
  <si>
    <t>Tax Losses - Capital</t>
  </si>
  <si>
    <t>L1.30</t>
  </si>
  <si>
    <t>Abondonment Losses - Tax</t>
  </si>
  <si>
    <t>L1.31</t>
  </si>
  <si>
    <t>Cost of Removal - Tax ADR</t>
  </si>
  <si>
    <t>Tax Depletion</t>
  </si>
  <si>
    <t>Post In Service - AFUDC (IN Only)</t>
  </si>
  <si>
    <t>State Basis Adjustment</t>
  </si>
  <si>
    <t>SIT-Bonus</t>
  </si>
  <si>
    <t>L2 - Utility plant, acquisition adjustment</t>
  </si>
  <si>
    <t>L2.00</t>
  </si>
  <si>
    <t>L2.20</t>
  </si>
  <si>
    <t>Accum. Book Amortization</t>
  </si>
  <si>
    <t>Accum. TAX Amortization</t>
  </si>
  <si>
    <t>L2.30</t>
  </si>
  <si>
    <t>Amortization of Goodwill</t>
  </si>
  <si>
    <t>L2.31</t>
  </si>
  <si>
    <t>Intangible Indefinite Life</t>
  </si>
  <si>
    <t>L2.32</t>
  </si>
  <si>
    <t>Goodwill Acquisition Costs</t>
  </si>
  <si>
    <t>DDN Asset Premium</t>
  </si>
  <si>
    <t>L2.34</t>
  </si>
  <si>
    <t>DDA-Premium Accum Amort</t>
  </si>
  <si>
    <t>L2.35</t>
  </si>
  <si>
    <t>L3 - Intangible assets</t>
  </si>
  <si>
    <t>L4 - Income taxes recoverable</t>
  </si>
  <si>
    <t>L5 - Other</t>
  </si>
  <si>
    <t>L5.00</t>
  </si>
  <si>
    <t>Deferred Credits Analyzed</t>
  </si>
  <si>
    <t>Miscellaneouse Deferred Credits (Misc 3)</t>
  </si>
  <si>
    <t>L5.20</t>
  </si>
  <si>
    <t>JV Gain/Loss</t>
  </si>
  <si>
    <t>L5.30</t>
  </si>
  <si>
    <t>JV Gain/Loss - Manual</t>
  </si>
  <si>
    <t>Investment in Assoc. Co.</t>
  </si>
  <si>
    <t>L5.40</t>
  </si>
  <si>
    <t>Manual Basis Adjustment - Investment in Sub.</t>
  </si>
  <si>
    <t>L5.41</t>
  </si>
  <si>
    <t>Reg Asset-AFUDC-Equity</t>
  </si>
  <si>
    <t>Reg Asset-Accum Amort</t>
  </si>
  <si>
    <t>L6 - Deferred Security Costs</t>
  </si>
  <si>
    <t>L7 - Business services project</t>
  </si>
  <si>
    <t>L8 - Business Change Costs</t>
  </si>
  <si>
    <t>L9 - Open</t>
  </si>
  <si>
    <t>L9.00</t>
  </si>
  <si>
    <t>L10 - TBBS Unidentified Balance</t>
  </si>
  <si>
    <t>Subtotal Gross DTL</t>
  </si>
  <si>
    <t>Net Deferred Footnote</t>
  </si>
  <si>
    <t>Deferred Detail Subtotals from Above</t>
  </si>
  <si>
    <t>Difference</t>
  </si>
  <si>
    <t>JE#  T220  JV Gain/Loss</t>
  </si>
  <si>
    <t>JE#  T005  Uncollectible Accounts</t>
  </si>
  <si>
    <t>JE#  Z022  Prov/Rtn Adjustment - Uncollectibles</t>
  </si>
  <si>
    <t>JE#  ZZ37  Def Hist - Uncollectible Accounts - a/c 143000</t>
  </si>
  <si>
    <t>JE#  T010  Vacation Pay</t>
  </si>
  <si>
    <t>JE#  ZZ09  Def Hist - Vacation Pay a/c 174100</t>
  </si>
  <si>
    <t>JE#  T215  DO NOT USE  after 2003 Foreign Interest-267 Adjustment</t>
  </si>
  <si>
    <t>JE#  T015  Customer Deposits</t>
  </si>
  <si>
    <t>JE#  ZZ14  Def Hist - Customer Deposits a/c 238010</t>
  </si>
  <si>
    <t>JE#  ZZ15  Def Hist - Unclaimed Cus Dep - a/c 238020</t>
  </si>
  <si>
    <t>JE#  T210  Section 163(j) Limitation</t>
  </si>
  <si>
    <t>JE#  T216  Foreign Interest-267 Adjustment</t>
  </si>
  <si>
    <t>JE#  T145  AFUDC (AFUDC 1)</t>
  </si>
  <si>
    <t>JE#  T151  Amortization of Post In-Service AFUDC (P AFUDC 2)</t>
  </si>
  <si>
    <t>JE#  ZZ01  Def Hist - Plant a/c 101000</t>
  </si>
  <si>
    <t>JE#  T047  Reg Asset - AFUDC Debt in Plant (Depr 3)</t>
  </si>
  <si>
    <t>JE#  ZZ02  Def Hist - Land a/c 101303</t>
  </si>
  <si>
    <t>JE#  ZZ03  Def Hist - Prop. Held Future Use a/c 103000</t>
  </si>
  <si>
    <t>JE#  T045  Depreciation and Amortization (Depr 1)</t>
  </si>
  <si>
    <t>JE#  T049  Goodwill Amortization</t>
  </si>
  <si>
    <t>JE#  T060  Gains and Losses (Disp 1)</t>
  </si>
  <si>
    <t>JE#  T062  Abandonment Losses (Disp 3)</t>
  </si>
  <si>
    <t>JE#  T063  Cost of Removal (Disp 4)</t>
  </si>
  <si>
    <t>JE#  ZZ04  Def Hist - Depreciation a/c 108000</t>
  </si>
  <si>
    <t>JE#  ZZ07  Def Hist - Nonutility Proprety a/c 121000</t>
  </si>
  <si>
    <t>JE#  ZZ08  Def Hist - Acc Depr Nonutility Prop a/c 122000</t>
  </si>
  <si>
    <t>JE#  T050  Intangible Indefinite Life</t>
  </si>
  <si>
    <t>JE#  T048  Reg Asset - AFUDC Debt (Depr 4)</t>
  </si>
  <si>
    <t>JE#  T075  Depletion</t>
  </si>
  <si>
    <t>JE#  ZZ05  Def Hist - Amortization a/c 110000</t>
  </si>
  <si>
    <t>JE#  T070  Amortization of UPAA</t>
  </si>
  <si>
    <t>JE#  ZZ06  Def Hist - Amort UPAA a/c 114000</t>
  </si>
  <si>
    <t>JE#  ZZ36  Def Hist - Accum Amort UPAA - a/c 115000</t>
  </si>
  <si>
    <t>JE#  ZZ29  Def Hist - Nonutility Property-Land a/c 121100</t>
  </si>
  <si>
    <t>JE#  T175  Acquisition Costs</t>
  </si>
  <si>
    <t>JE#  T170  Deferred Revenue</t>
  </si>
  <si>
    <t>JE#  T100  Amortization of Debt Discount</t>
  </si>
  <si>
    <t>JE#  ZZ10  Def Hist - Debt Discount a/c 181000</t>
  </si>
  <si>
    <t>JE#  T040  Rate Case Expense</t>
  </si>
  <si>
    <t>JE#  Z023  Prov/Return Adjustment - Rate Case</t>
  </si>
  <si>
    <t>JE#  T186  Deferred Customer Service Center Costs</t>
  </si>
  <si>
    <t>JE#  U101  Deferred Customer Service Offset</t>
  </si>
  <si>
    <t>JE#  T187  Deferred Financial Services Costs</t>
  </si>
  <si>
    <t>JE#  U102  Deferred Financial Services Offset</t>
  </si>
  <si>
    <t>JE#  T146  AFUDC - Equity CWIP (AFUDC 2)</t>
  </si>
  <si>
    <t>JE#  T147  Amortization of Regulatory Asset (AFUDC 3)</t>
  </si>
  <si>
    <t>JE#  Z019  Prov/Rtn Adj - AFUDC</t>
  </si>
  <si>
    <t>JE#  T165  Miscellaneous Deferred Debits (Misc 1)</t>
  </si>
  <si>
    <t>JE#  Z004  Prov/Rtn Adjustment - Misc Deferred</t>
  </si>
  <si>
    <t>JE#  ZZ28  Def Hist - Other Assets Analyzed a/c 186000</t>
  </si>
  <si>
    <t>JE#  T064  Amortization of Premature Property Losses (Disp 5)</t>
  </si>
  <si>
    <t>JE#  T160  Deferred Maintenance (Maint 1)</t>
  </si>
  <si>
    <t>JE#  Z006  Prov/Rtn Rec - Deferred Maintenance</t>
  </si>
  <si>
    <t>JE#  T085  Purchased Water - Inside (PWtr 1)</t>
  </si>
  <si>
    <t>JE#  T030  Merger Expense</t>
  </si>
  <si>
    <t>JE#  Z020  Prov/Rtn Adj - Merger Expense</t>
  </si>
  <si>
    <t>JE#  T086  Purchased Water - Outside (PWtr 2)</t>
  </si>
  <si>
    <t>JE#  ZZ41  Def Hist-Purchased Water Outside a/c-186412</t>
  </si>
  <si>
    <t>JE#  T190  Deferred Business Change Costs</t>
  </si>
  <si>
    <t>JE#  T191  Deferred IMO Costs</t>
  </si>
  <si>
    <t>JE#  T140  Accrued OPEB (OPEB 1)</t>
  </si>
  <si>
    <t>JE#  T130  Regulatory Pension (Pension 1)</t>
  </si>
  <si>
    <t>JE#  ZZ13  Def Hist - Reg Pension a/c 186422</t>
  </si>
  <si>
    <t>JE#  T090  Depreciation Study</t>
  </si>
  <si>
    <t>JE#  T095  Cost of Service Study</t>
  </si>
  <si>
    <t>JE#  T150  Post AFUDC (P AFUDC 1)</t>
  </si>
  <si>
    <t>JE#  T046  Post In-Service Depreciation Expense (Depr 2)</t>
  </si>
  <si>
    <t>JE#  T110  Waste Disposal</t>
  </si>
  <si>
    <t>JE#  T105  Management Study</t>
  </si>
  <si>
    <t>JE#  T185  Deferred Security Costs</t>
  </si>
  <si>
    <t>JE#  U100  Deferred Security Offset</t>
  </si>
  <si>
    <t>JE#  T200  Transaction Costs</t>
  </si>
  <si>
    <t>JE#  Z015  Prov/Rtn Adj. -  From K-1-Other Income</t>
  </si>
  <si>
    <t>JE#  Z016  Prov/Rtn Adj. -  From K-1-interest income</t>
  </si>
  <si>
    <t>JE#  T115  Group Insurance</t>
  </si>
  <si>
    <t>JE#  ZZ38  Def Hist - Group Insurance - a/c 877205</t>
  </si>
  <si>
    <t>JE#  T152  Pavement Repairs</t>
  </si>
  <si>
    <t>JE#  T025  Taxable Advances (CAC 1)</t>
  </si>
  <si>
    <t>JE#  T166  Miscellaneous Deferred Credits (Misc 2)</t>
  </si>
  <si>
    <t>JE#  T167  Miscellaneous Deferred Credits (Misc 3)</t>
  </si>
  <si>
    <t>JE#  ZZ27  Def Hist - Other Deferred Cr Analyzed a/c 262000</t>
  </si>
  <si>
    <t>JE#  U103  Miscellaneous Deferred Offset</t>
  </si>
  <si>
    <t>JE#  T131  Regulatory Pension (Pension 2)</t>
  </si>
  <si>
    <t>JE#  ZZ23  Def Hist - Reg Pension a/c 262110</t>
  </si>
  <si>
    <t>JE#  T132  Regulatory Pension (Pension 3)</t>
  </si>
  <si>
    <t>JE#  ZZ24  Def Hist - Reg Pension AWWS a/c 262111</t>
  </si>
  <si>
    <t>JE#  T135  Supplemental Pension</t>
  </si>
  <si>
    <t>JE#  ZZ25  Def Hist - Supplemental Pension a/c 262140</t>
  </si>
  <si>
    <t>JE#  T180  Insurance Other than Group</t>
  </si>
  <si>
    <t>JE#  T141  Accrued OPEB (OPEB 2)</t>
  </si>
  <si>
    <t>JE#  T142  Accrued OPEB (OPEB 3)</t>
  </si>
  <si>
    <t>JE#  T120  Incentive Plan (Incen 1)</t>
  </si>
  <si>
    <t>JE#  T121  Incentive Plan (Incen 2)</t>
  </si>
  <si>
    <t>JE#  T122  Incentive Plan (Incen 3)</t>
  </si>
  <si>
    <t>JE#  ZZ26  Def Hist - Def Comp Incentive Plan a/c 262317</t>
  </si>
  <si>
    <t>JE#  T123  Incentive Plan (Incen 4) - AWW Only</t>
  </si>
  <si>
    <t>JE#  T124  Incentive Plan (Incent 5)</t>
  </si>
  <si>
    <t>JE#  ZZ39  Def Hist - Incentive Plan-Stock - a/c 262318</t>
  </si>
  <si>
    <t>JE#  T021  Deferred Revenue - CIAC (CIAC 2)</t>
  </si>
  <si>
    <t>JE#  T026  Deferred Revenue - AIC (CAC 2)</t>
  </si>
  <si>
    <t>JE#  T161  Deferred Maintenance (Maint 2)</t>
  </si>
  <si>
    <t>JE#  T020  Taxable Contributions (CIAC 1)</t>
  </si>
  <si>
    <t>JE#  ZZ32  Def Hist - CIAC-Taxable SIT a/c 271300</t>
  </si>
  <si>
    <t>JE#  ZZ30  Def Hist - Accum Amort-CIAC a/c 272000</t>
  </si>
  <si>
    <t>JE#  ZZ35  Def Hist - Acc Amort-CIAC Taxable a/c 272100</t>
  </si>
  <si>
    <t>JE#  T061  Deferred Tax Gain (Disp 2)</t>
  </si>
  <si>
    <t>JE#  T080  Current Deferred SIT/LIT (SIT 1)</t>
  </si>
  <si>
    <t>JE#  T081  Noncurrent Deferred SIT/LIT (SIT 2)</t>
  </si>
  <si>
    <t>JE#  T082  SIT - Unamortized ITC (SIT 3)</t>
  </si>
  <si>
    <t>JE#  T083  Deferred SIT - Reg Asset/Liability (SIT 4)</t>
  </si>
  <si>
    <t>Medicare Subsidy offset (T225 in P/Y)</t>
  </si>
  <si>
    <t>JE#  0001  Def Hist - AFUDC - Equity CWIP (AFUDC 2) - a/c 185035</t>
  </si>
  <si>
    <t>JE#  0002  Oth Def Adj - a/c 185040 - Reg Asset Pl Flow-Thru</t>
  </si>
  <si>
    <t>JE#  0003  Oth Def Adj -  a/c 185045 - Reg Asset Other</t>
  </si>
  <si>
    <t>JE#  0004  Oth Def Adj  - a/c 185050 - Reg Asset St Flow-Thru</t>
  </si>
  <si>
    <t>JE#  0005  Oth Def Adj -  a/c 185051 - Reg Asset-St Tax Ch</t>
  </si>
  <si>
    <t>JE#  0008  Oth Def Adj - a/c 256210 - Reg Liab AFUDC</t>
  </si>
  <si>
    <t>JE#  0009  Oth Def Adj - a/c 256220 - Reg Liab Deficit Def FIT</t>
  </si>
  <si>
    <t>JE#  0010  Oth Def Adj - a/c 256230 - Reg Liab Excess Def SIT</t>
  </si>
  <si>
    <t>JE#  0011  Oth Def Adj - a/c 256240 - Reg Liability-Other</t>
  </si>
  <si>
    <t>JE#  0012  Oth Def Adj - a/c 256310 - Reg Liab ITC Gross-up</t>
  </si>
  <si>
    <t>JE#  0013  Oth Def Adj - a/c 256315 - Reg Liab State ITC Gr-up</t>
  </si>
  <si>
    <t>JE#  0006  Oth Def Adj - a/c 255000 - Unamortized ITC</t>
  </si>
  <si>
    <t>JE#  0007  Oth Def Adj - a/c 255105 - SIT Unamortized ITC</t>
  </si>
  <si>
    <t>JE#  0014  Net Operating Loss - Federal</t>
  </si>
  <si>
    <t>PCDWLD</t>
  </si>
  <si>
    <t xml:space="preserve">83410                       American Water Works Company                               1                                                                                                              </t>
  </si>
  <si>
    <t xml:space="preserve">TAX                         All Companies Trial Balance                         01/12/12                                                                                                              </t>
  </si>
  <si>
    <t xml:space="preserve">TAXTBVAR12                  12 Plus Months &amp; Prior Year                         16:42:14                                                                                                              </t>
  </si>
  <si>
    <t xml:space="preserve">                               As of December 31, 2010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</si>
  <si>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</si>
  <si>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</si>
  <si>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 xml:space="preserve">    As Of      </t>
  </si>
  <si>
    <t xml:space="preserve">    As of      </t>
  </si>
  <si>
    <t xml:space="preserve">               </t>
  </si>
  <si>
    <t xml:space="preserve">                  DESC                  </t>
  </si>
  <si>
    <t xml:space="preserve">  12/31/2010   </t>
  </si>
  <si>
    <t xml:space="preserve">  12/31/2011   </t>
  </si>
  <si>
    <t xml:space="preserve">   Variance    </t>
  </si>
  <si>
    <t>x</t>
  </si>
  <si>
    <t>Comp #</t>
  </si>
  <si>
    <t>y</t>
  </si>
  <si>
    <t>Acct #</t>
  </si>
  <si>
    <t xml:space="preserve">   174200 Curr State Def Tax            </t>
  </si>
  <si>
    <t xml:space="preserve">   174300 Curr Fed Def Tax              </t>
  </si>
  <si>
    <t xml:space="preserve">   236310 Curr Def FIT                  </t>
  </si>
  <si>
    <t xml:space="preserve">   236320 Curr Def SIT/LIT              </t>
  </si>
  <si>
    <t xml:space="preserve">   253301 Def FIT-Other                 </t>
  </si>
  <si>
    <t xml:space="preserve">   253701 Def SIT-Other                 </t>
  </si>
  <si>
    <t>Tax Sharing</t>
  </si>
  <si>
    <t>GL</t>
  </si>
  <si>
    <t>DIFF</t>
  </si>
  <si>
    <t>Payable Reclass - Being Monitored</t>
  </si>
  <si>
    <t>Q3 True Up</t>
  </si>
  <si>
    <t>Q4 True UP</t>
  </si>
  <si>
    <t>Account Description</t>
  </si>
  <si>
    <t>Beginning Balance</t>
  </si>
  <si>
    <t>Ending Balance</t>
  </si>
  <si>
    <t>Variance</t>
  </si>
  <si>
    <t>Comp</t>
  </si>
  <si>
    <t>Account</t>
  </si>
  <si>
    <t>25340000 Deferred FIT Liability - Current</t>
  </si>
  <si>
    <t>1012</t>
  </si>
  <si>
    <t>25340000</t>
  </si>
  <si>
    <t>25350000 Deferred SIT Liability - Current</t>
  </si>
  <si>
    <t>25350000</t>
  </si>
  <si>
    <t>25311000 Deferred FIT Liability - Other</t>
  </si>
  <si>
    <t>25311000</t>
  </si>
  <si>
    <t>25321000 Deferred SIT Liability - Other</t>
  </si>
  <si>
    <t>25321000</t>
  </si>
  <si>
    <t>BB</t>
  </si>
  <si>
    <t>Sepco</t>
  </si>
  <si>
    <t>State Gain/Loss</t>
  </si>
  <si>
    <t>FIN 48 Liability - Repair Expense (Statute Expired)</t>
  </si>
  <si>
    <t>L1.20S</t>
  </si>
  <si>
    <t>InterCo Windfall</t>
  </si>
  <si>
    <t>TB</t>
  </si>
  <si>
    <t>SEPCO</t>
  </si>
  <si>
    <t>Reg. A/L</t>
  </si>
  <si>
    <t>Opening B/S Adjust</t>
  </si>
  <si>
    <t>Regulatory</t>
  </si>
  <si>
    <t>No ETR</t>
  </si>
  <si>
    <t xml:space="preserve">TAX                         All Companies Trial Balance                         01/13/11                                                                                                              </t>
  </si>
  <si>
    <t xml:space="preserve">TAXTBVAR12                  12 Plus Months &amp; Prior Year                         15:22:24                                                                                                              </t>
  </si>
  <si>
    <t xml:space="preserve">                               As of December 31, 2009                                                                                                                                                </t>
  </si>
  <si>
    <t xml:space="preserve">  12/31/2009   </t>
  </si>
  <si>
    <t>CO#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</si>
</sst>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mm/dd/yy_)"/>
    <numFmt numFmtId="165" formatCode="_(* #,##0_);_(* \(#,##0\);_(* &quot;-&quot;??_);_(@_)"/>
    <numFmt numFmtId="166" formatCode="m/d/yy"/>
    <numFmt numFmtId="167" formatCode="[$-409]mmmm\ d\,\ yyyy;@"/>
    <numFmt numFmtId="168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T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u/>
      <sz val="9"/>
      <name val="Arial Narrow"/>
      <family val="2"/>
    </font>
    <font>
      <b/>
      <u/>
      <sz val="10"/>
      <name val="Arial Narrow"/>
      <family val="2"/>
    </font>
    <font>
      <strike/>
      <sz val="10"/>
      <name val="Arial Narrow"/>
      <family val="2"/>
    </font>
    <font>
      <b/>
      <strike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</cellStyleXfs>
  <cellXfs count="326">
    <xf numFmtId="0" fontId="0" fillId="0" borderId="0" xfId="0"/>
    <xf numFmtId="0" fontId="3" fillId="0" borderId="0" xfId="3" applyFont="1" applyFill="1" applyProtection="1">
      <protection locked="0"/>
    </xf>
    <xf numFmtId="0" fontId="4" fillId="0" borderId="0" xfId="3" applyFont="1" applyFill="1" applyProtection="1">
      <protection locked="0"/>
    </xf>
    <xf numFmtId="0" fontId="4" fillId="0" borderId="0" xfId="3" applyNumberFormat="1" applyFont="1" applyFill="1" applyAlignment="1" applyProtection="1">
      <alignment horizontal="center"/>
      <protection locked="0"/>
    </xf>
    <xf numFmtId="0" fontId="5" fillId="0" borderId="0" xfId="3" applyFont="1" applyFill="1" applyProtection="1">
      <protection locked="0"/>
    </xf>
    <xf numFmtId="37" fontId="3" fillId="2" borderId="1" xfId="0" applyNumberFormat="1" applyFont="1" applyFill="1" applyBorder="1" applyAlignment="1" applyProtection="1">
      <alignment horizontal="centerContinuous"/>
      <protection locked="0"/>
    </xf>
    <xf numFmtId="37" fontId="3" fillId="2" borderId="2" xfId="0" applyNumberFormat="1" applyFont="1" applyFill="1" applyBorder="1" applyAlignment="1" applyProtection="1">
      <alignment horizontal="centerContinuous"/>
      <protection locked="0"/>
    </xf>
    <xf numFmtId="0" fontId="3" fillId="2" borderId="2" xfId="0" applyFont="1" applyFill="1" applyBorder="1" applyAlignment="1" applyProtection="1">
      <alignment horizontal="centerContinuous"/>
      <protection locked="0"/>
    </xf>
    <xf numFmtId="164" fontId="3" fillId="2" borderId="2" xfId="0" applyNumberFormat="1" applyFont="1" applyFill="1" applyBorder="1" applyAlignment="1" applyProtection="1">
      <alignment horizontal="centerContinuous"/>
      <protection locked="0"/>
    </xf>
    <xf numFmtId="37" fontId="3" fillId="2" borderId="3" xfId="0" applyNumberFormat="1" applyFont="1" applyFill="1" applyBorder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165" fontId="4" fillId="0" borderId="0" xfId="1" applyNumberFormat="1" applyFont="1" applyFill="1" applyProtection="1">
      <protection locked="0"/>
    </xf>
    <xf numFmtId="166" fontId="3" fillId="0" borderId="0" xfId="3" applyNumberFormat="1" applyFont="1" applyFill="1" applyProtection="1">
      <protection locked="0"/>
    </xf>
    <xf numFmtId="37" fontId="4" fillId="0" borderId="4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center"/>
      <protection locked="0"/>
    </xf>
    <xf numFmtId="37" fontId="4" fillId="0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9" xfId="0" applyNumberFormat="1" applyFont="1" applyFill="1" applyBorder="1" applyAlignment="1" applyProtection="1">
      <alignment horizontal="centerContinuous"/>
      <protection locked="0"/>
    </xf>
    <xf numFmtId="0" fontId="3" fillId="0" borderId="10" xfId="3" applyNumberFormat="1" applyFont="1" applyFill="1" applyBorder="1" applyAlignment="1" applyProtection="1">
      <alignment horizontal="center"/>
      <protection locked="0"/>
    </xf>
    <xf numFmtId="0" fontId="4" fillId="0" borderId="3" xfId="3" applyNumberFormat="1" applyFont="1" applyFill="1" applyBorder="1" applyAlignment="1" applyProtection="1">
      <alignment horizontal="center"/>
      <protection locked="0"/>
    </xf>
    <xf numFmtId="166" fontId="4" fillId="0" borderId="11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9" xfId="0" applyNumberFormat="1" applyFont="1" applyFill="1" applyBorder="1" applyAlignment="1" applyProtection="1">
      <alignment horizontal="center"/>
      <protection locked="0"/>
    </xf>
    <xf numFmtId="37" fontId="4" fillId="0" borderId="9" xfId="0" applyNumberFormat="1" applyFont="1" applyFill="1" applyBorder="1" applyAlignment="1" applyProtection="1">
      <alignment horizontal="center"/>
      <protection locked="0"/>
    </xf>
    <xf numFmtId="37" fontId="3" fillId="2" borderId="13" xfId="3" applyNumberFormat="1" applyFont="1" applyFill="1" applyBorder="1" applyProtection="1">
      <protection locked="0"/>
    </xf>
    <xf numFmtId="0" fontId="3" fillId="2" borderId="7" xfId="3" applyFont="1" applyFill="1" applyBorder="1" applyAlignment="1" applyProtection="1">
      <alignment horizontal="center"/>
      <protection locked="0"/>
    </xf>
    <xf numFmtId="37" fontId="4" fillId="0" borderId="11" xfId="0" applyNumberFormat="1" applyFont="1" applyFill="1" applyBorder="1" applyAlignment="1" applyProtection="1">
      <alignment horizontal="center"/>
      <protection locked="0"/>
    </xf>
    <xf numFmtId="37" fontId="3" fillId="2" borderId="14" xfId="3" applyNumberFormat="1" applyFont="1" applyFill="1" applyBorder="1" applyProtection="1">
      <protection locked="0"/>
    </xf>
    <xf numFmtId="167" fontId="3" fillId="2" borderId="15" xfId="3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37" fontId="4" fillId="0" borderId="16" xfId="0" applyNumberFormat="1" applyFont="1" applyFill="1" applyBorder="1" applyAlignment="1" applyProtection="1">
      <alignment horizontal="center"/>
      <protection locked="0"/>
    </xf>
    <xf numFmtId="37" fontId="4" fillId="0" borderId="17" xfId="0" applyNumberFormat="1" applyFont="1" applyFill="1" applyBorder="1" applyAlignment="1" applyProtection="1">
      <alignment horizontal="center"/>
      <protection locked="0"/>
    </xf>
    <xf numFmtId="37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9" xfId="3" applyNumberFormat="1" applyFont="1" applyFill="1" applyBorder="1" applyAlignment="1" applyProtection="1">
      <alignment horizontal="center"/>
      <protection locked="0"/>
    </xf>
    <xf numFmtId="0" fontId="4" fillId="0" borderId="20" xfId="3" applyNumberFormat="1" applyFont="1" applyFill="1" applyBorder="1" applyAlignment="1" applyProtection="1">
      <alignment horizontal="center"/>
      <protection locked="0"/>
    </xf>
    <xf numFmtId="0" fontId="5" fillId="0" borderId="0" xfId="3" applyFont="1" applyFill="1" applyAlignment="1" applyProtection="1">
      <alignment horizontal="left"/>
      <protection locked="0"/>
    </xf>
    <xf numFmtId="37" fontId="4" fillId="0" borderId="21" xfId="0" applyNumberFormat="1" applyFont="1" applyFill="1" applyBorder="1" applyAlignment="1" applyProtection="1">
      <alignment horizontal="center"/>
      <protection locked="0"/>
    </xf>
    <xf numFmtId="164" fontId="6" fillId="3" borderId="22" xfId="0" applyNumberFormat="1" applyFont="1" applyFill="1" applyBorder="1" applyAlignment="1" applyProtection="1">
      <alignment horizontal="center"/>
      <protection locked="0"/>
    </xf>
    <xf numFmtId="164" fontId="4" fillId="0" borderId="22" xfId="0" applyNumberFormat="1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25" xfId="3" applyFont="1" applyFill="1" applyBorder="1" applyAlignment="1" applyProtection="1">
      <alignment horizontal="center"/>
      <protection locked="0"/>
    </xf>
    <xf numFmtId="0" fontId="4" fillId="0" borderId="26" xfId="3" applyFont="1" applyFill="1" applyBorder="1" applyAlignment="1" applyProtection="1">
      <alignment horizontal="center"/>
      <protection locked="0"/>
    </xf>
    <xf numFmtId="0" fontId="4" fillId="0" borderId="27" xfId="3" applyNumberFormat="1" applyFont="1" applyFill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37" fontId="4" fillId="0" borderId="28" xfId="0" applyNumberFormat="1" applyFont="1" applyFill="1" applyBorder="1" applyAlignment="1" applyProtection="1">
      <alignment horizontal="center"/>
      <protection locked="0"/>
    </xf>
    <xf numFmtId="168" fontId="7" fillId="3" borderId="29" xfId="0" applyNumberFormat="1" applyFont="1" applyFill="1" applyBorder="1" applyAlignment="1" applyProtection="1">
      <alignment horizontal="center"/>
      <protection locked="0"/>
    </xf>
    <xf numFmtId="164" fontId="4" fillId="0" borderId="30" xfId="0" applyNumberFormat="1" applyFont="1" applyFill="1" applyBorder="1" applyAlignment="1" applyProtection="1">
      <alignment horizontal="center"/>
      <protection locked="0"/>
    </xf>
    <xf numFmtId="164" fontId="4" fillId="0" borderId="31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10" fontId="4" fillId="0" borderId="14" xfId="2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Protection="1"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37" fontId="4" fillId="0" borderId="0" xfId="0" applyNumberFormat="1" applyFont="1" applyFill="1" applyProtection="1">
      <protection locked="0"/>
    </xf>
    <xf numFmtId="37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3" quotePrefix="1" applyFont="1" applyFill="1" applyProtection="1">
      <protection locked="0"/>
    </xf>
    <xf numFmtId="37" fontId="4" fillId="0" borderId="32" xfId="0" applyNumberFormat="1" applyFont="1" applyFill="1" applyBorder="1" applyProtection="1">
      <protection locked="0"/>
    </xf>
    <xf numFmtId="37" fontId="4" fillId="0" borderId="0" xfId="0" applyNumberFormat="1" applyFont="1" applyBorder="1" applyProtection="1">
      <protection locked="0"/>
    </xf>
    <xf numFmtId="37" fontId="4" fillId="0" borderId="33" xfId="0" applyNumberFormat="1" applyFont="1" applyFill="1" applyBorder="1" applyProtection="1">
      <protection locked="0"/>
    </xf>
    <xf numFmtId="37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 applyProtection="1">
      <alignment horizontal="left"/>
      <protection locked="0"/>
    </xf>
    <xf numFmtId="37" fontId="4" fillId="0" borderId="34" xfId="0" applyNumberFormat="1" applyFont="1" applyFill="1" applyBorder="1" applyProtection="1">
      <protection locked="0"/>
    </xf>
    <xf numFmtId="37" fontId="4" fillId="0" borderId="35" xfId="0" applyNumberFormat="1" applyFont="1" applyFill="1" applyBorder="1" applyAlignment="1" applyProtection="1">
      <alignment horizontal="left"/>
      <protection locked="0"/>
    </xf>
    <xf numFmtId="0" fontId="4" fillId="0" borderId="35" xfId="0" applyNumberFormat="1" applyFont="1" applyFill="1" applyBorder="1" applyAlignment="1" applyProtection="1">
      <alignment horizontal="center"/>
      <protection locked="0"/>
    </xf>
    <xf numFmtId="37" fontId="5" fillId="0" borderId="35" xfId="0" applyNumberFormat="1" applyFont="1" applyFill="1" applyBorder="1" applyAlignment="1" applyProtection="1">
      <alignment horizontal="left"/>
      <protection locked="0"/>
    </xf>
    <xf numFmtId="37" fontId="4" fillId="0" borderId="35" xfId="0" applyNumberFormat="1" applyFont="1" applyFill="1" applyBorder="1" applyProtection="1">
      <protection locked="0"/>
    </xf>
    <xf numFmtId="37" fontId="5" fillId="0" borderId="35" xfId="0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/>
    <xf numFmtId="0" fontId="0" fillId="0" borderId="0" xfId="0" applyBorder="1"/>
    <xf numFmtId="165" fontId="0" fillId="0" borderId="0" xfId="1" applyNumberFormat="1" applyFont="1" applyBorder="1"/>
    <xf numFmtId="37" fontId="5" fillId="0" borderId="0" xfId="0" quotePrefix="1" applyNumberFormat="1" applyFont="1" applyFill="1" applyBorder="1" applyAlignment="1" applyProtection="1">
      <alignment horizontal="left"/>
      <protection locked="0"/>
    </xf>
    <xf numFmtId="10" fontId="10" fillId="0" borderId="0" xfId="0" applyNumberFormat="1" applyFont="1" applyFill="1" applyBorder="1" applyProtection="1">
      <protection locked="0"/>
    </xf>
    <xf numFmtId="165" fontId="10" fillId="0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5" fontId="4" fillId="0" borderId="0" xfId="1" applyNumberFormat="1" applyFont="1" applyFill="1" applyBorder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quotePrefix="1" applyNumberFormat="1" applyFont="1" applyFill="1" applyBorder="1" applyAlignment="1" applyProtection="1">
      <alignment horizontal="right" indent="1"/>
      <protection locked="0"/>
    </xf>
    <xf numFmtId="37" fontId="4" fillId="0" borderId="0" xfId="0" quotePrefix="1" applyNumberFormat="1" applyFont="1" applyFill="1" applyAlignment="1" applyProtection="1">
      <alignment horizontal="center"/>
    </xf>
    <xf numFmtId="10" fontId="4" fillId="0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36" xfId="0" applyNumberFormat="1" applyFont="1" applyFill="1" applyBorder="1" applyProtection="1">
      <protection locked="0"/>
    </xf>
    <xf numFmtId="37" fontId="4" fillId="0" borderId="35" xfId="0" applyNumberFormat="1" applyFont="1" applyFill="1" applyBorder="1" applyAlignment="1" applyProtection="1">
      <protection locked="0"/>
    </xf>
    <xf numFmtId="37" fontId="3" fillId="3" borderId="0" xfId="0" applyNumberFormat="1" applyFont="1" applyFill="1" applyBorder="1" applyProtection="1">
      <protection locked="0"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Protection="1">
      <protection locked="0"/>
    </xf>
    <xf numFmtId="37" fontId="4" fillId="0" borderId="37" xfId="0" applyNumberFormat="1" applyFont="1" applyFill="1" applyBorder="1" applyProtection="1">
      <protection locked="0"/>
    </xf>
    <xf numFmtId="10" fontId="4" fillId="0" borderId="34" xfId="2" applyNumberFormat="1" applyFont="1" applyFill="1" applyBorder="1" applyProtection="1">
      <protection locked="0"/>
    </xf>
    <xf numFmtId="10" fontId="4" fillId="0" borderId="0" xfId="2" applyNumberFormat="1" applyFont="1" applyFill="1" applyBorder="1" applyProtection="1">
      <protection locked="0"/>
    </xf>
    <xf numFmtId="37" fontId="3" fillId="2" borderId="35" xfId="0" applyNumberFormat="1" applyFont="1" applyFill="1" applyBorder="1" applyAlignment="1" applyProtection="1">
      <alignment horizontal="left"/>
      <protection locked="0"/>
    </xf>
    <xf numFmtId="0" fontId="3" fillId="2" borderId="35" xfId="0" applyNumberFormat="1" applyFont="1" applyFill="1" applyBorder="1" applyAlignment="1" applyProtection="1">
      <alignment horizontal="center"/>
      <protection locked="0"/>
    </xf>
    <xf numFmtId="37" fontId="5" fillId="2" borderId="35" xfId="0" applyNumberFormat="1" applyFont="1" applyFill="1" applyBorder="1" applyAlignment="1" applyProtection="1">
      <alignment horizontal="left"/>
      <protection locked="0"/>
    </xf>
    <xf numFmtId="37" fontId="3" fillId="2" borderId="35" xfId="0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 applyProtection="1">
      <alignment horizontal="center"/>
      <protection locked="0"/>
    </xf>
    <xf numFmtId="37" fontId="3" fillId="0" borderId="0" xfId="0" applyNumberFormat="1" applyFont="1" applyFill="1" applyBorder="1" applyAlignment="1" applyProtection="1">
      <alignment horizontal="center"/>
      <protection locked="0"/>
    </xf>
    <xf numFmtId="37" fontId="4" fillId="0" borderId="35" xfId="0" applyNumberFormat="1" applyFont="1" applyFill="1" applyBorder="1" applyAlignment="1" applyProtection="1">
      <alignment horizontal="right"/>
      <protection locked="0"/>
    </xf>
    <xf numFmtId="37" fontId="3" fillId="2" borderId="13" xfId="0" applyNumberFormat="1" applyFont="1" applyFill="1" applyBorder="1" applyAlignment="1" applyProtection="1">
      <alignment horizontal="left"/>
      <protection locked="0"/>
    </xf>
    <xf numFmtId="37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37" fontId="5" fillId="2" borderId="6" xfId="0" applyNumberFormat="1" applyFont="1" applyFill="1" applyBorder="1" applyAlignment="1" applyProtection="1">
      <alignment horizontal="left"/>
      <protection locked="0"/>
    </xf>
    <xf numFmtId="37" fontId="3" fillId="2" borderId="6" xfId="0" applyNumberFormat="1" applyFont="1" applyFill="1" applyBorder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165" fontId="3" fillId="0" borderId="0" xfId="1" applyNumberFormat="1" applyFont="1" applyFill="1" applyProtection="1">
      <protection locked="0"/>
    </xf>
    <xf numFmtId="37" fontId="3" fillId="2" borderId="8" xfId="0" applyNumberFormat="1" applyFont="1" applyFill="1" applyBorder="1" applyAlignment="1" applyProtection="1">
      <alignment horizontal="left"/>
      <protection locked="0"/>
    </xf>
    <xf numFmtId="3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37" fontId="5" fillId="2" borderId="0" xfId="0" applyNumberFormat="1" applyFont="1" applyFill="1" applyBorder="1" applyAlignment="1" applyProtection="1">
      <alignment horizontal="left"/>
      <protection locked="0"/>
    </xf>
    <xf numFmtId="37" fontId="3" fillId="2" borderId="0" xfId="0" applyNumberFormat="1" applyFont="1" applyFill="1" applyBorder="1" applyProtection="1">
      <protection locked="0"/>
    </xf>
    <xf numFmtId="37" fontId="3" fillId="2" borderId="38" xfId="0" applyNumberFormat="1" applyFont="1" applyFill="1" applyBorder="1" applyAlignment="1" applyProtection="1">
      <alignment horizontal="left"/>
      <protection locked="0"/>
    </xf>
    <xf numFmtId="37" fontId="3" fillId="2" borderId="39" xfId="0" applyNumberFormat="1" applyFont="1" applyFill="1" applyBorder="1" applyAlignment="1" applyProtection="1">
      <alignment horizontal="left"/>
      <protection locked="0"/>
    </xf>
    <xf numFmtId="0" fontId="3" fillId="2" borderId="39" xfId="0" applyNumberFormat="1" applyFont="1" applyFill="1" applyBorder="1" applyAlignment="1" applyProtection="1">
      <alignment horizontal="center"/>
      <protection locked="0"/>
    </xf>
    <xf numFmtId="37" fontId="5" fillId="2" borderId="39" xfId="0" applyNumberFormat="1" applyFont="1" applyFill="1" applyBorder="1" applyAlignment="1" applyProtection="1">
      <alignment horizontal="left"/>
      <protection locked="0"/>
    </xf>
    <xf numFmtId="37" fontId="3" fillId="2" borderId="39" xfId="0" applyNumberFormat="1" applyFont="1" applyFill="1" applyBorder="1" applyProtection="1">
      <protection locked="0"/>
    </xf>
    <xf numFmtId="37" fontId="3" fillId="2" borderId="40" xfId="0" applyNumberFormat="1" applyFont="1" applyFill="1" applyBorder="1" applyProtection="1">
      <protection locked="0"/>
    </xf>
    <xf numFmtId="37" fontId="3" fillId="2" borderId="4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Protection="1">
      <protection locked="0"/>
    </xf>
    <xf numFmtId="37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7" fontId="7" fillId="0" borderId="0" xfId="0" applyNumberFormat="1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37" fontId="5" fillId="0" borderId="41" xfId="0" applyNumberFormat="1" applyFont="1" applyFill="1" applyBorder="1" applyAlignment="1" applyProtection="1">
      <alignment horizontal="right"/>
      <protection locked="0"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37" fontId="9" fillId="0" borderId="0" xfId="0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37" fontId="4" fillId="0" borderId="17" xfId="0" applyNumberFormat="1" applyFont="1" applyFill="1" applyBorder="1" applyProtection="1">
      <protection locked="0"/>
    </xf>
    <xf numFmtId="168" fontId="4" fillId="0" borderId="0" xfId="2" applyNumberFormat="1" applyFont="1" applyFill="1" applyBorder="1" applyAlignment="1" applyProtection="1">
      <alignment horizontal="center"/>
      <protection locked="0"/>
    </xf>
    <xf numFmtId="37" fontId="13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4" fillId="0" borderId="42" xfId="0" applyFont="1" applyFill="1" applyBorder="1" applyProtection="1">
      <protection locked="0"/>
    </xf>
    <xf numFmtId="37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37" fontId="4" fillId="0" borderId="0" xfId="0" applyNumberFormat="1" applyFont="1" applyFill="1" applyBorder="1" applyAlignment="1" applyProtection="1">
      <protection locked="0"/>
    </xf>
    <xf numFmtId="37" fontId="4" fillId="0" borderId="43" xfId="0" applyNumberFormat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37" fontId="14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 applyProtection="1">
      <alignment horizontal="left" indent="2"/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Continuous"/>
      <protection locked="0"/>
    </xf>
    <xf numFmtId="0" fontId="4" fillId="0" borderId="13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10" fontId="4" fillId="0" borderId="6" xfId="0" applyNumberFormat="1" applyFont="1" applyFill="1" applyBorder="1" applyProtection="1">
      <protection locked="0"/>
    </xf>
    <xf numFmtId="10" fontId="4" fillId="0" borderId="7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8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Protection="1">
      <protection locked="0"/>
    </xf>
    <xf numFmtId="10" fontId="4" fillId="0" borderId="9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5" fillId="0" borderId="31" xfId="0" applyFont="1" applyFill="1" applyBorder="1" applyProtection="1">
      <protection locked="0"/>
    </xf>
    <xf numFmtId="10" fontId="4" fillId="0" borderId="39" xfId="0" applyNumberFormat="1" applyFont="1" applyFill="1" applyBorder="1" applyProtection="1">
      <protection locked="0"/>
    </xf>
    <xf numFmtId="10" fontId="4" fillId="0" borderId="44" xfId="0" applyNumberFormat="1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8" fontId="3" fillId="2" borderId="2" xfId="2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8" fontId="3" fillId="2" borderId="42" xfId="2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165" fontId="4" fillId="0" borderId="0" xfId="1" applyNumberFormat="1" applyFont="1" applyFill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/>
      <protection locked="0"/>
    </xf>
    <xf numFmtId="37" fontId="1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Protection="1">
      <protection locked="0"/>
    </xf>
    <xf numFmtId="168" fontId="4" fillId="0" borderId="45" xfId="2" applyNumberFormat="1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165" fontId="4" fillId="0" borderId="23" xfId="1" applyNumberFormat="1" applyFont="1" applyFill="1" applyBorder="1" applyAlignment="1" applyProtection="1">
      <alignment horizontal="center"/>
      <protection locked="0"/>
    </xf>
    <xf numFmtId="168" fontId="4" fillId="0" borderId="23" xfId="2" applyNumberFormat="1" applyFont="1" applyFill="1" applyBorder="1" applyAlignment="1" applyProtection="1">
      <alignment horizontal="center"/>
      <protection locked="0"/>
    </xf>
    <xf numFmtId="165" fontId="4" fillId="0" borderId="24" xfId="1" applyNumberFormat="1" applyFont="1" applyFill="1" applyBorder="1" applyAlignment="1" applyProtection="1">
      <alignment horizontal="center"/>
      <protection locked="0"/>
    </xf>
    <xf numFmtId="168" fontId="4" fillId="0" borderId="47" xfId="2" applyNumberFormat="1" applyFont="1" applyFill="1" applyBorder="1" applyAlignment="1" applyProtection="1">
      <alignment horizontal="center"/>
      <protection locked="0"/>
    </xf>
    <xf numFmtId="37" fontId="3" fillId="3" borderId="48" xfId="0" applyNumberFormat="1" applyFont="1" applyFill="1" applyBorder="1" applyProtection="1">
      <protection locked="0"/>
    </xf>
    <xf numFmtId="0" fontId="4" fillId="3" borderId="35" xfId="0" applyFont="1" applyFill="1" applyBorder="1" applyAlignment="1">
      <alignment horizontal="center"/>
    </xf>
    <xf numFmtId="37" fontId="4" fillId="3" borderId="35" xfId="0" applyNumberFormat="1" applyFont="1" applyFill="1" applyBorder="1" applyAlignment="1" applyProtection="1">
      <alignment horizontal="center"/>
      <protection locked="0"/>
    </xf>
    <xf numFmtId="168" fontId="4" fillId="3" borderId="35" xfId="2" applyNumberFormat="1" applyFont="1" applyFill="1" applyBorder="1" applyAlignment="1" applyProtection="1">
      <alignment horizontal="center"/>
      <protection locked="0"/>
    </xf>
    <xf numFmtId="165" fontId="4" fillId="3" borderId="49" xfId="1" applyNumberFormat="1" applyFont="1" applyFill="1" applyBorder="1" applyAlignment="1" applyProtection="1">
      <alignment horizontal="center"/>
      <protection locked="0"/>
    </xf>
    <xf numFmtId="165" fontId="4" fillId="3" borderId="35" xfId="1" applyNumberFormat="1" applyFont="1" applyFill="1" applyBorder="1" applyAlignment="1" applyProtection="1">
      <alignment horizontal="center"/>
      <protection locked="0"/>
    </xf>
    <xf numFmtId="168" fontId="4" fillId="3" borderId="50" xfId="2" applyNumberFormat="1" applyFont="1" applyFill="1" applyBorder="1" applyAlignment="1" applyProtection="1">
      <alignment horizontal="center"/>
      <protection locked="0"/>
    </xf>
    <xf numFmtId="37" fontId="4" fillId="0" borderId="8" xfId="0" applyNumberFormat="1" applyFont="1" applyFill="1" applyBorder="1" applyAlignment="1" applyProtection="1">
      <alignment horizontal="left" indent="3"/>
      <protection locked="0"/>
    </xf>
    <xf numFmtId="0" fontId="4" fillId="0" borderId="0" xfId="0" applyFont="1" applyBorder="1" applyAlignment="1">
      <alignment horizontal="center"/>
    </xf>
    <xf numFmtId="37" fontId="16" fillId="0" borderId="8" xfId="0" applyNumberFormat="1" applyFont="1" applyFill="1" applyBorder="1" applyAlignment="1" applyProtection="1">
      <alignment horizontal="left" indent="3"/>
      <protection locked="0"/>
    </xf>
    <xf numFmtId="37" fontId="1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quotePrefix="1" applyFont="1" applyAlignment="1">
      <alignment horizontal="center"/>
    </xf>
    <xf numFmtId="37" fontId="17" fillId="3" borderId="48" xfId="0" applyNumberFormat="1" applyFont="1" applyFill="1" applyBorder="1" applyProtection="1">
      <protection locked="0"/>
    </xf>
    <xf numFmtId="0" fontId="3" fillId="3" borderId="48" xfId="0" applyFont="1" applyFill="1" applyBorder="1" applyProtection="1"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3" fillId="2" borderId="48" xfId="0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Protection="1">
      <protection locked="0"/>
    </xf>
    <xf numFmtId="168" fontId="3" fillId="2" borderId="35" xfId="2" applyNumberFormat="1" applyFont="1" applyFill="1" applyBorder="1" applyProtection="1">
      <protection locked="0"/>
    </xf>
    <xf numFmtId="165" fontId="3" fillId="2" borderId="35" xfId="1" applyNumberFormat="1" applyFont="1" applyFill="1" applyBorder="1" applyAlignment="1" applyProtection="1">
      <alignment horizontal="center"/>
      <protection locked="0"/>
    </xf>
    <xf numFmtId="165" fontId="3" fillId="2" borderId="35" xfId="1" applyNumberFormat="1" applyFont="1" applyFill="1" applyBorder="1" applyProtection="1">
      <protection locked="0"/>
    </xf>
    <xf numFmtId="168" fontId="3" fillId="2" borderId="50" xfId="2" applyNumberFormat="1" applyFont="1" applyFill="1" applyBorder="1" applyProtection="1">
      <protection locked="0"/>
    </xf>
    <xf numFmtId="165" fontId="4" fillId="0" borderId="9" xfId="1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37" fontId="16" fillId="0" borderId="8" xfId="0" quotePrefix="1" applyNumberFormat="1" applyFont="1" applyFill="1" applyBorder="1" applyAlignment="1" applyProtection="1">
      <alignment horizontal="left" indent="3"/>
      <protection locked="0"/>
    </xf>
    <xf numFmtId="0" fontId="4" fillId="0" borderId="0" xfId="0" applyFont="1" applyAlignment="1">
      <alignment horizontal="center"/>
    </xf>
    <xf numFmtId="0" fontId="18" fillId="3" borderId="48" xfId="0" applyFont="1" applyFill="1" applyBorder="1" applyProtection="1">
      <protection locked="0"/>
    </xf>
    <xf numFmtId="0" fontId="18" fillId="3" borderId="35" xfId="0" applyFont="1" applyFill="1" applyBorder="1" applyAlignment="1">
      <alignment horizontal="center"/>
    </xf>
    <xf numFmtId="0" fontId="18" fillId="3" borderId="35" xfId="0" applyFont="1" applyFill="1" applyBorder="1" applyAlignment="1" applyProtection="1">
      <alignment horizontal="center"/>
      <protection locked="0"/>
    </xf>
    <xf numFmtId="168" fontId="18" fillId="3" borderId="35" xfId="2" applyNumberFormat="1" applyFont="1" applyFill="1" applyBorder="1" applyAlignment="1" applyProtection="1">
      <alignment horizontal="center"/>
      <protection locked="0"/>
    </xf>
    <xf numFmtId="165" fontId="18" fillId="3" borderId="49" xfId="1" applyNumberFormat="1" applyFont="1" applyFill="1" applyBorder="1" applyAlignment="1" applyProtection="1">
      <alignment horizontal="center"/>
      <protection locked="0"/>
    </xf>
    <xf numFmtId="165" fontId="18" fillId="3" borderId="35" xfId="1" applyNumberFormat="1" applyFont="1" applyFill="1" applyBorder="1" applyAlignment="1" applyProtection="1">
      <alignment horizontal="center"/>
      <protection locked="0"/>
    </xf>
    <xf numFmtId="165" fontId="18" fillId="4" borderId="35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168" fontId="18" fillId="3" borderId="50" xfId="2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65" fontId="4" fillId="0" borderId="31" xfId="1" applyNumberFormat="1" applyFont="1" applyFill="1" applyBorder="1" applyProtection="1">
      <protection locked="0"/>
    </xf>
    <xf numFmtId="168" fontId="4" fillId="0" borderId="31" xfId="2" applyNumberFormat="1" applyFont="1" applyFill="1" applyBorder="1" applyProtection="1">
      <protection locked="0"/>
    </xf>
    <xf numFmtId="168" fontId="4" fillId="0" borderId="51" xfId="2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Protection="1">
      <protection locked="0"/>
    </xf>
    <xf numFmtId="165" fontId="3" fillId="2" borderId="31" xfId="1" applyNumberFormat="1" applyFont="1" applyFill="1" applyBorder="1" applyProtection="1">
      <protection locked="0"/>
    </xf>
    <xf numFmtId="168" fontId="3" fillId="2" borderId="31" xfId="2" applyNumberFormat="1" applyFont="1" applyFill="1" applyBorder="1" applyProtection="1">
      <protection locked="0"/>
    </xf>
    <xf numFmtId="168" fontId="3" fillId="2" borderId="51" xfId="2" applyNumberFormat="1" applyFont="1" applyFill="1" applyBorder="1" applyProtection="1">
      <protection locked="0"/>
    </xf>
    <xf numFmtId="0" fontId="4" fillId="0" borderId="0" xfId="0" applyFont="1"/>
    <xf numFmtId="37" fontId="6" fillId="0" borderId="0" xfId="0" applyNumberFormat="1" applyFont="1" applyAlignment="1">
      <alignment horizontal="left"/>
    </xf>
    <xf numFmtId="168" fontId="4" fillId="0" borderId="0" xfId="2" applyNumberFormat="1" applyFont="1"/>
    <xf numFmtId="37" fontId="4" fillId="0" borderId="0" xfId="0" applyNumberFormat="1" applyFont="1"/>
    <xf numFmtId="165" fontId="4" fillId="0" borderId="0" xfId="1" applyNumberFormat="1" applyFont="1"/>
    <xf numFmtId="0" fontId="0" fillId="0" borderId="0" xfId="0" applyNumberFormat="1" applyFill="1" applyBorder="1" applyAlignment="1" applyProtection="1"/>
    <xf numFmtId="49" fontId="0" fillId="0" borderId="0" xfId="0" applyNumberFormat="1"/>
    <xf numFmtId="165" fontId="21" fillId="0" borderId="0" xfId="1" applyNumberFormat="1" applyFont="1"/>
    <xf numFmtId="165" fontId="0" fillId="0" borderId="0" xfId="1" applyNumberFormat="1" applyFont="1"/>
    <xf numFmtId="165" fontId="0" fillId="0" borderId="43" xfId="0" applyNumberFormat="1" applyBorder="1"/>
    <xf numFmtId="0" fontId="4" fillId="0" borderId="17" xfId="0" applyFont="1" applyFill="1" applyBorder="1" applyProtection="1">
      <protection locked="0"/>
    </xf>
    <xf numFmtId="0" fontId="0" fillId="0" borderId="0" xfId="0" applyAlignment="1">
      <alignment vertical="top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17" xfId="1" applyNumberFormat="1" applyFont="1" applyFill="1" applyBorder="1" applyAlignment="1" applyProtection="1">
      <protection locked="0"/>
    </xf>
    <xf numFmtId="165" fontId="6" fillId="0" borderId="0" xfId="1" applyNumberFormat="1" applyFont="1" applyFill="1" applyBorder="1" applyAlignment="1" applyProtection="1">
      <protection locked="0"/>
    </xf>
    <xf numFmtId="168" fontId="6" fillId="0" borderId="0" xfId="2" applyNumberFormat="1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>
      <protection locked="0"/>
    </xf>
    <xf numFmtId="165" fontId="6" fillId="0" borderId="17" xfId="1" applyNumberFormat="1" applyFont="1" applyFill="1" applyBorder="1" applyAlignment="1" applyProtection="1">
      <alignment horizontal="center"/>
      <protection locked="0"/>
    </xf>
    <xf numFmtId="37" fontId="4" fillId="0" borderId="0" xfId="4" applyNumberFormat="1" applyFont="1" applyFill="1" applyProtection="1">
      <protection locked="0"/>
    </xf>
    <xf numFmtId="37" fontId="4" fillId="0" borderId="0" xfId="5" applyNumberFormat="1" applyFont="1" applyFill="1" applyProtection="1">
      <protection locked="0"/>
    </xf>
    <xf numFmtId="37" fontId="4" fillId="0" borderId="0" xfId="6" applyNumberFormat="1" applyFont="1" applyFill="1" applyProtection="1">
      <protection locked="0"/>
    </xf>
    <xf numFmtId="38" fontId="11" fillId="0" borderId="0" xfId="1" applyNumberFormat="1" applyFont="1" applyFill="1" applyBorder="1" applyAlignment="1">
      <alignment horizontal="left" vertical="center"/>
    </xf>
    <xf numFmtId="37" fontId="11" fillId="0" borderId="0" xfId="0" applyNumberFormat="1" applyFont="1" applyFill="1" applyBorder="1" applyAlignment="1" applyProtection="1">
      <alignment horizontal="left" vertical="center"/>
    </xf>
    <xf numFmtId="37" fontId="4" fillId="0" borderId="0" xfId="7" applyNumberFormat="1" applyFont="1" applyFill="1" applyBorder="1" applyProtection="1">
      <protection locked="0"/>
    </xf>
    <xf numFmtId="37" fontId="4" fillId="0" borderId="0" xfId="8" applyNumberFormat="1" applyFont="1" applyFill="1" applyProtection="1">
      <protection locked="0"/>
    </xf>
    <xf numFmtId="0" fontId="0" fillId="0" borderId="0" xfId="0"/>
    <xf numFmtId="165" fontId="7" fillId="0" borderId="0" xfId="1" applyNumberFormat="1" applyFont="1" applyFill="1" applyBorder="1" applyAlignment="1" applyProtection="1">
      <alignment horizontal="right"/>
      <protection locked="0"/>
    </xf>
    <xf numFmtId="37" fontId="4" fillId="5" borderId="17" xfId="0" applyNumberFormat="1" applyFont="1" applyFill="1" applyBorder="1" applyProtection="1">
      <protection locked="0"/>
    </xf>
    <xf numFmtId="37" fontId="12" fillId="0" borderId="0" xfId="0" applyNumberFormat="1" applyFont="1" applyFill="1" applyBorder="1" applyAlignment="1" applyProtection="1">
      <alignment horizontal="left"/>
      <protection locked="0"/>
    </xf>
    <xf numFmtId="37" fontId="7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Border="1"/>
    <xf numFmtId="168" fontId="4" fillId="0" borderId="0" xfId="2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65" fontId="0" fillId="0" borderId="0" xfId="9" applyNumberFormat="1" applyFont="1" applyAlignment="1">
      <alignment horizontal="right" vertical="top"/>
    </xf>
    <xf numFmtId="165" fontId="0" fillId="6" borderId="43" xfId="0" applyNumberFormat="1" applyFill="1" applyBorder="1"/>
    <xf numFmtId="14" fontId="0" fillId="0" borderId="0" xfId="0" applyNumberFormat="1"/>
    <xf numFmtId="37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8" fontId="6" fillId="0" borderId="0" xfId="2" applyNumberFormat="1" applyFont="1" applyFill="1" applyBorder="1" applyAlignment="1" applyProtection="1">
      <alignment horizontal="right"/>
      <protection locked="0"/>
    </xf>
    <xf numFmtId="165" fontId="4" fillId="0" borderId="0" xfId="9" applyNumberFormat="1" applyFont="1" applyFill="1" applyProtection="1">
      <protection locked="0"/>
    </xf>
    <xf numFmtId="165" fontId="0" fillId="0" borderId="0" xfId="9" applyNumberFormat="1" applyFont="1" applyBorder="1"/>
    <xf numFmtId="165" fontId="10" fillId="0" borderId="0" xfId="9" applyNumberFormat="1" applyFont="1" applyFill="1" applyBorder="1" applyProtection="1">
      <protection locked="0"/>
    </xf>
    <xf numFmtId="165" fontId="4" fillId="0" borderId="0" xfId="9" applyNumberFormat="1" applyFont="1" applyFill="1" applyBorder="1" applyProtection="1">
      <protection locked="0"/>
    </xf>
    <xf numFmtId="37" fontId="4" fillId="0" borderId="0" xfId="0" applyNumberFormat="1" applyFont="1" applyProtection="1">
      <protection locked="0"/>
    </xf>
    <xf numFmtId="165" fontId="3" fillId="0" borderId="0" xfId="9" applyNumberFormat="1" applyFont="1" applyFill="1" applyProtection="1">
      <protection locked="0"/>
    </xf>
    <xf numFmtId="43" fontId="4" fillId="0" borderId="0" xfId="9" applyFont="1" applyFill="1" applyBorder="1" applyProtection="1">
      <protection locked="0"/>
    </xf>
    <xf numFmtId="165" fontId="4" fillId="0" borderId="0" xfId="9" applyNumberFormat="1" applyFont="1" applyFill="1" applyBorder="1" applyAlignment="1" applyProtection="1">
      <alignment horizontal="center"/>
      <protection locked="0"/>
    </xf>
    <xf numFmtId="165" fontId="4" fillId="0" borderId="9" xfId="9" applyNumberFormat="1" applyFont="1" applyFill="1" applyBorder="1" applyAlignment="1" applyProtection="1">
      <alignment horizontal="center"/>
      <protection locked="0"/>
    </xf>
    <xf numFmtId="165" fontId="3" fillId="0" borderId="0" xfId="9" applyNumberFormat="1" applyFont="1" applyFill="1" applyBorder="1" applyProtection="1">
      <protection locked="0"/>
    </xf>
    <xf numFmtId="165" fontId="4" fillId="0" borderId="23" xfId="9" applyNumberFormat="1" applyFont="1" applyFill="1" applyBorder="1" applyAlignment="1" applyProtection="1">
      <alignment horizontal="center"/>
      <protection locked="0"/>
    </xf>
    <xf numFmtId="165" fontId="4" fillId="0" borderId="24" xfId="9" applyNumberFormat="1" applyFont="1" applyFill="1" applyBorder="1" applyAlignment="1" applyProtection="1">
      <alignment horizontal="center"/>
      <protection locked="0"/>
    </xf>
    <xf numFmtId="165" fontId="4" fillId="3" borderId="49" xfId="9" applyNumberFormat="1" applyFont="1" applyFill="1" applyBorder="1" applyAlignment="1" applyProtection="1">
      <alignment horizontal="center"/>
      <protection locked="0"/>
    </xf>
    <xf numFmtId="165" fontId="4" fillId="3" borderId="35" xfId="9" applyNumberFormat="1" applyFont="1" applyFill="1" applyBorder="1" applyAlignment="1" applyProtection="1">
      <alignment horizontal="center"/>
      <protection locked="0"/>
    </xf>
    <xf numFmtId="165" fontId="3" fillId="2" borderId="35" xfId="9" applyNumberFormat="1" applyFont="1" applyFill="1" applyBorder="1" applyAlignment="1" applyProtection="1">
      <alignment horizontal="center"/>
      <protection locked="0"/>
    </xf>
    <xf numFmtId="165" fontId="3" fillId="2" borderId="35" xfId="9" applyNumberFormat="1" applyFont="1" applyFill="1" applyBorder="1" applyProtection="1">
      <protection locked="0"/>
    </xf>
    <xf numFmtId="165" fontId="4" fillId="0" borderId="9" xfId="9" applyNumberFormat="1" applyFont="1" applyFill="1" applyBorder="1" applyProtection="1">
      <protection locked="0"/>
    </xf>
    <xf numFmtId="165" fontId="18" fillId="3" borderId="49" xfId="9" applyNumberFormat="1" applyFont="1" applyFill="1" applyBorder="1" applyAlignment="1" applyProtection="1">
      <alignment horizontal="center"/>
      <protection locked="0"/>
    </xf>
    <xf numFmtId="165" fontId="18" fillId="3" borderId="35" xfId="9" applyNumberFormat="1" applyFont="1" applyFill="1" applyBorder="1" applyAlignment="1" applyProtection="1">
      <alignment horizontal="center"/>
      <protection locked="0"/>
    </xf>
    <xf numFmtId="165" fontId="18" fillId="4" borderId="35" xfId="9" applyNumberFormat="1" applyFont="1" applyFill="1" applyBorder="1" applyAlignment="1" applyProtection="1">
      <alignment horizontal="center"/>
      <protection locked="0"/>
    </xf>
    <xf numFmtId="165" fontId="4" fillId="0" borderId="31" xfId="9" applyNumberFormat="1" applyFont="1" applyFill="1" applyBorder="1" applyProtection="1">
      <protection locked="0"/>
    </xf>
    <xf numFmtId="165" fontId="3" fillId="2" borderId="31" xfId="9" applyNumberFormat="1" applyFont="1" applyFill="1" applyBorder="1" applyProtection="1">
      <protection locked="0"/>
    </xf>
    <xf numFmtId="165" fontId="4" fillId="0" borderId="0" xfId="9" applyNumberFormat="1" applyFont="1"/>
    <xf numFmtId="165" fontId="0" fillId="0" borderId="0" xfId="9" applyNumberFormat="1" applyFont="1"/>
    <xf numFmtId="38" fontId="11" fillId="0" borderId="0" xfId="9" applyNumberFormat="1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/>
    <xf numFmtId="37" fontId="3" fillId="2" borderId="10" xfId="0" applyNumberFormat="1" applyFont="1" applyFill="1" applyBorder="1" applyAlignment="1" applyProtection="1">
      <alignment horizontal="center"/>
      <protection locked="0"/>
    </xf>
    <xf numFmtId="37" fontId="3" fillId="2" borderId="2" xfId="0" applyNumberFormat="1" applyFont="1" applyFill="1" applyBorder="1" applyAlignment="1" applyProtection="1">
      <alignment horizontal="center"/>
      <protection locked="0"/>
    </xf>
    <xf numFmtId="37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37" fontId="4" fillId="0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25" xfId="3" applyNumberFormat="1" applyFont="1" applyFill="1" applyBorder="1" applyAlignment="1" applyProtection="1">
      <alignment horizontal="center"/>
      <protection locked="0"/>
    </xf>
    <xf numFmtId="0" fontId="4" fillId="0" borderId="26" xfId="3" applyNumberFormat="1" applyFont="1" applyFill="1" applyBorder="1" applyAlignment="1" applyProtection="1">
      <alignment horizontal="center"/>
      <protection locked="0"/>
    </xf>
    <xf numFmtId="10" fontId="7" fillId="0" borderId="31" xfId="2" applyNumberFormat="1" applyFont="1" applyFill="1" applyBorder="1" applyAlignment="1" applyProtection="1">
      <alignment horizontal="center"/>
      <protection locked="0"/>
    </xf>
    <xf numFmtId="10" fontId="7" fillId="0" borderId="15" xfId="2" applyNumberFormat="1" applyFont="1" applyFill="1" applyBorder="1" applyAlignment="1" applyProtection="1">
      <alignment horizontal="center"/>
      <protection locked="0"/>
    </xf>
    <xf numFmtId="37" fontId="4" fillId="0" borderId="23" xfId="0" applyNumberFormat="1" applyFont="1" applyFill="1" applyBorder="1" applyAlignment="1" applyProtection="1">
      <alignment horizontal="center"/>
      <protection locked="0"/>
    </xf>
    <xf numFmtId="37" fontId="3" fillId="0" borderId="35" xfId="0" applyNumberFormat="1" applyFont="1" applyFill="1" applyBorder="1" applyAlignment="1" applyProtection="1">
      <alignment horizontal="center"/>
      <protection locked="0"/>
    </xf>
    <xf numFmtId="0" fontId="4" fillId="3" borderId="52" xfId="0" applyFont="1" applyFill="1" applyBorder="1" applyAlignment="1" applyProtection="1">
      <alignment horizontal="center"/>
      <protection locked="0"/>
    </xf>
    <xf numFmtId="0" fontId="4" fillId="3" borderId="53" xfId="0" applyFont="1" applyFill="1" applyBorder="1" applyAlignment="1" applyProtection="1">
      <alignment horizontal="center"/>
      <protection locked="0"/>
    </xf>
  </cellXfs>
  <cellStyles count="10">
    <cellStyle name="Comma" xfId="1" builtinId="3"/>
    <cellStyle name="Comma 11" xfId="9"/>
    <cellStyle name="Normal" xfId="0" builtinId="0"/>
    <cellStyle name="Normal 24" xfId="4"/>
    <cellStyle name="Normal 25" xfId="5"/>
    <cellStyle name="Normal 26" xfId="6"/>
    <cellStyle name="Normal 27" xfId="7"/>
    <cellStyle name="Normal 28" xfId="8"/>
    <cellStyle name="Normal_B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10</xdr:row>
      <xdr:rowOff>0</xdr:rowOff>
    </xdr:from>
    <xdr:to>
      <xdr:col>8</xdr:col>
      <xdr:colOff>542925</xdr:colOff>
      <xdr:row>192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91725" y="1771650"/>
          <a:ext cx="38100" cy="311467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85725</xdr:colOff>
      <xdr:row>10</xdr:row>
      <xdr:rowOff>38100</xdr:rowOff>
    </xdr:from>
    <xdr:to>
      <xdr:col>5</xdr:col>
      <xdr:colOff>85725</xdr:colOff>
      <xdr:row>26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457950" y="1809750"/>
          <a:ext cx="0" cy="28194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34</xdr:row>
      <xdr:rowOff>57150</xdr:rowOff>
    </xdr:from>
    <xdr:to>
      <xdr:col>5</xdr:col>
      <xdr:colOff>114300</xdr:colOff>
      <xdr:row>154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467475" y="5943600"/>
          <a:ext cx="19050" cy="206406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197</xdr:row>
      <xdr:rowOff>85725</xdr:rowOff>
    </xdr:from>
    <xdr:to>
      <xdr:col>5</xdr:col>
      <xdr:colOff>104775</xdr:colOff>
      <xdr:row>202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467475" y="33804225"/>
          <a:ext cx="9525" cy="9048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220</xdr:row>
      <xdr:rowOff>85725</xdr:rowOff>
    </xdr:from>
    <xdr:to>
      <xdr:col>5</xdr:col>
      <xdr:colOff>95250</xdr:colOff>
      <xdr:row>223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467475" y="37747575"/>
          <a:ext cx="0" cy="5143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242</xdr:row>
      <xdr:rowOff>57150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9991725" y="1771650"/>
          <a:ext cx="38100" cy="397192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243</xdr:row>
      <xdr:rowOff>57150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9991725" y="1771650"/>
          <a:ext cx="38100" cy="3989070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104775</xdr:colOff>
      <xdr:row>206</xdr:row>
      <xdr:rowOff>104775</xdr:rowOff>
    </xdr:from>
    <xdr:to>
      <xdr:col>5</xdr:col>
      <xdr:colOff>114300</xdr:colOff>
      <xdr:row>211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477000" y="35366325"/>
          <a:ext cx="9525" cy="8763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104775</xdr:colOff>
      <xdr:row>231</xdr:row>
      <xdr:rowOff>76200</xdr:rowOff>
    </xdr:from>
    <xdr:to>
      <xdr:col>5</xdr:col>
      <xdr:colOff>114300</xdr:colOff>
      <xdr:row>239</xdr:row>
      <xdr:rowOff>19050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477000" y="39624000"/>
          <a:ext cx="9525" cy="13144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249</xdr:row>
      <xdr:rowOff>0</xdr:rowOff>
    </xdr:from>
    <xdr:to>
      <xdr:col>5</xdr:col>
      <xdr:colOff>114300</xdr:colOff>
      <xdr:row>251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486525" y="42633900"/>
          <a:ext cx="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267</xdr:row>
      <xdr:rowOff>28575</xdr:rowOff>
    </xdr:from>
    <xdr:to>
      <xdr:col>5</xdr:col>
      <xdr:colOff>114300</xdr:colOff>
      <xdr:row>268</xdr:row>
      <xdr:rowOff>161925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486525" y="4574857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275</xdr:row>
      <xdr:rowOff>9525</xdr:rowOff>
    </xdr:from>
    <xdr:to>
      <xdr:col>5</xdr:col>
      <xdr:colOff>114300</xdr:colOff>
      <xdr:row>276</xdr:row>
      <xdr:rowOff>142875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486525" y="4710112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914400</xdr:colOff>
      <xdr:row>177</xdr:row>
      <xdr:rowOff>38100</xdr:rowOff>
    </xdr:from>
    <xdr:to>
      <xdr:col>5</xdr:col>
      <xdr:colOff>923925</xdr:colOff>
      <xdr:row>193</xdr:row>
      <xdr:rowOff>57150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>
          <a:off x="7286625" y="30441900"/>
          <a:ext cx="9525" cy="26479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76200</xdr:colOff>
      <xdr:row>1</xdr:row>
      <xdr:rowOff>123825</xdr:rowOff>
    </xdr:to>
    <xdr:pic>
      <xdr:nvPicPr>
        <xdr:cNvPr id="29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76200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10</xdr:row>
      <xdr:rowOff>0</xdr:rowOff>
    </xdr:from>
    <xdr:to>
      <xdr:col>8</xdr:col>
      <xdr:colOff>542925</xdr:colOff>
      <xdr:row>192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91725" y="1771650"/>
          <a:ext cx="38100" cy="311467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85725</xdr:colOff>
      <xdr:row>10</xdr:row>
      <xdr:rowOff>38100</xdr:rowOff>
    </xdr:from>
    <xdr:to>
      <xdr:col>5</xdr:col>
      <xdr:colOff>85725</xdr:colOff>
      <xdr:row>26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457950" y="1809750"/>
          <a:ext cx="0" cy="28194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34</xdr:row>
      <xdr:rowOff>57150</xdr:rowOff>
    </xdr:from>
    <xdr:to>
      <xdr:col>5</xdr:col>
      <xdr:colOff>114300</xdr:colOff>
      <xdr:row>154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467475" y="5943600"/>
          <a:ext cx="19050" cy="206406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197</xdr:row>
      <xdr:rowOff>85725</xdr:rowOff>
    </xdr:from>
    <xdr:to>
      <xdr:col>5</xdr:col>
      <xdr:colOff>104775</xdr:colOff>
      <xdr:row>202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467475" y="33804225"/>
          <a:ext cx="9525" cy="9048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220</xdr:row>
      <xdr:rowOff>85725</xdr:rowOff>
    </xdr:from>
    <xdr:to>
      <xdr:col>5</xdr:col>
      <xdr:colOff>95250</xdr:colOff>
      <xdr:row>223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467475" y="37747575"/>
          <a:ext cx="0" cy="5143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242</xdr:row>
      <xdr:rowOff>57150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9991725" y="1771650"/>
          <a:ext cx="38100" cy="397192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243</xdr:row>
      <xdr:rowOff>57150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9991725" y="1771650"/>
          <a:ext cx="38100" cy="3989070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104775</xdr:colOff>
      <xdr:row>206</xdr:row>
      <xdr:rowOff>104775</xdr:rowOff>
    </xdr:from>
    <xdr:to>
      <xdr:col>5</xdr:col>
      <xdr:colOff>114300</xdr:colOff>
      <xdr:row>211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477000" y="35366325"/>
          <a:ext cx="9525" cy="8763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104775</xdr:colOff>
      <xdr:row>231</xdr:row>
      <xdr:rowOff>76200</xdr:rowOff>
    </xdr:from>
    <xdr:to>
      <xdr:col>5</xdr:col>
      <xdr:colOff>114300</xdr:colOff>
      <xdr:row>239</xdr:row>
      <xdr:rowOff>19050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477000" y="39624000"/>
          <a:ext cx="9525" cy="13144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249</xdr:row>
      <xdr:rowOff>0</xdr:rowOff>
    </xdr:from>
    <xdr:to>
      <xdr:col>5</xdr:col>
      <xdr:colOff>114300</xdr:colOff>
      <xdr:row>251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486525" y="42633900"/>
          <a:ext cx="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267</xdr:row>
      <xdr:rowOff>28575</xdr:rowOff>
    </xdr:from>
    <xdr:to>
      <xdr:col>5</xdr:col>
      <xdr:colOff>114300</xdr:colOff>
      <xdr:row>268</xdr:row>
      <xdr:rowOff>161925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486525" y="4574857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275</xdr:row>
      <xdr:rowOff>9525</xdr:rowOff>
    </xdr:from>
    <xdr:to>
      <xdr:col>5</xdr:col>
      <xdr:colOff>114300</xdr:colOff>
      <xdr:row>276</xdr:row>
      <xdr:rowOff>142875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486525" y="4710112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914400</xdr:colOff>
      <xdr:row>177</xdr:row>
      <xdr:rowOff>38100</xdr:rowOff>
    </xdr:from>
    <xdr:to>
      <xdr:col>5</xdr:col>
      <xdr:colOff>923925</xdr:colOff>
      <xdr:row>193</xdr:row>
      <xdr:rowOff>57150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>
          <a:off x="7286625" y="30441900"/>
          <a:ext cx="9525" cy="26479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76200</xdr:colOff>
      <xdr:row>1</xdr:row>
      <xdr:rowOff>123825</xdr:rowOff>
    </xdr:to>
    <xdr:pic>
      <xdr:nvPicPr>
        <xdr:cNvPr id="29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762000" cy="266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10</xdr:row>
      <xdr:rowOff>0</xdr:rowOff>
    </xdr:from>
    <xdr:to>
      <xdr:col>8</xdr:col>
      <xdr:colOff>542925</xdr:colOff>
      <xdr:row>192</xdr:row>
      <xdr:rowOff>57150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91725" y="1771650"/>
          <a:ext cx="38100" cy="311467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85725</xdr:colOff>
      <xdr:row>10</xdr:row>
      <xdr:rowOff>38100</xdr:rowOff>
    </xdr:from>
    <xdr:to>
      <xdr:col>5</xdr:col>
      <xdr:colOff>85725</xdr:colOff>
      <xdr:row>26</xdr:row>
      <xdr:rowOff>114300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457950" y="1809750"/>
          <a:ext cx="0" cy="28194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34</xdr:row>
      <xdr:rowOff>57150</xdr:rowOff>
    </xdr:from>
    <xdr:to>
      <xdr:col>5</xdr:col>
      <xdr:colOff>114300</xdr:colOff>
      <xdr:row>154</xdr:row>
      <xdr:rowOff>123825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6467475" y="5943600"/>
          <a:ext cx="19050" cy="206406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197</xdr:row>
      <xdr:rowOff>85725</xdr:rowOff>
    </xdr:from>
    <xdr:to>
      <xdr:col>5</xdr:col>
      <xdr:colOff>104775</xdr:colOff>
      <xdr:row>202</xdr:row>
      <xdr:rowOff>133350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6467475" y="33804225"/>
          <a:ext cx="9525" cy="904875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95250</xdr:colOff>
      <xdr:row>220</xdr:row>
      <xdr:rowOff>85725</xdr:rowOff>
    </xdr:from>
    <xdr:to>
      <xdr:col>5</xdr:col>
      <xdr:colOff>95250</xdr:colOff>
      <xdr:row>223</xdr:row>
      <xdr:rowOff>85725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6467475" y="37747575"/>
          <a:ext cx="0" cy="5143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242</xdr:row>
      <xdr:rowOff>57150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9991725" y="1771650"/>
          <a:ext cx="38100" cy="3971925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8</xdr:col>
      <xdr:colOff>504825</xdr:colOff>
      <xdr:row>10</xdr:row>
      <xdr:rowOff>0</xdr:rowOff>
    </xdr:from>
    <xdr:to>
      <xdr:col>8</xdr:col>
      <xdr:colOff>542925</xdr:colOff>
      <xdr:row>243</xdr:row>
      <xdr:rowOff>57150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9991725" y="1771650"/>
          <a:ext cx="38100" cy="39890700"/>
        </a:xfrm>
        <a:prstGeom prst="line">
          <a:avLst/>
        </a:prstGeom>
        <a:noFill/>
        <a:ln w="9525">
          <a:solidFill>
            <a:srgbClr val="969696"/>
          </a:solidFill>
          <a:round/>
          <a:headEnd type="diamond" w="med" len="med"/>
          <a:tailEnd type="stealth" w="med" len="lg"/>
        </a:ln>
      </xdr:spPr>
    </xdr:sp>
    <xdr:clientData/>
  </xdr:twoCellAnchor>
  <xdr:twoCellAnchor>
    <xdr:from>
      <xdr:col>5</xdr:col>
      <xdr:colOff>104775</xdr:colOff>
      <xdr:row>206</xdr:row>
      <xdr:rowOff>104775</xdr:rowOff>
    </xdr:from>
    <xdr:to>
      <xdr:col>5</xdr:col>
      <xdr:colOff>114300</xdr:colOff>
      <xdr:row>211</xdr:row>
      <xdr:rowOff>123825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477000" y="35366325"/>
          <a:ext cx="9525" cy="8763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104775</xdr:colOff>
      <xdr:row>231</xdr:row>
      <xdr:rowOff>76200</xdr:rowOff>
    </xdr:from>
    <xdr:to>
      <xdr:col>5</xdr:col>
      <xdr:colOff>114300</xdr:colOff>
      <xdr:row>239</xdr:row>
      <xdr:rowOff>19050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6477000" y="39624000"/>
          <a:ext cx="9525" cy="13144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249</xdr:row>
      <xdr:rowOff>0</xdr:rowOff>
    </xdr:from>
    <xdr:to>
      <xdr:col>5</xdr:col>
      <xdr:colOff>114300</xdr:colOff>
      <xdr:row>251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>
          <a:off x="6486525" y="42633900"/>
          <a:ext cx="0" cy="3429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267</xdr:row>
      <xdr:rowOff>28575</xdr:rowOff>
    </xdr:from>
    <xdr:to>
      <xdr:col>5</xdr:col>
      <xdr:colOff>114300</xdr:colOff>
      <xdr:row>268</xdr:row>
      <xdr:rowOff>161925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486525" y="4574857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114300</xdr:colOff>
      <xdr:row>275</xdr:row>
      <xdr:rowOff>9525</xdr:rowOff>
    </xdr:from>
    <xdr:to>
      <xdr:col>5</xdr:col>
      <xdr:colOff>114300</xdr:colOff>
      <xdr:row>276</xdr:row>
      <xdr:rowOff>142875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>
          <a:off x="6486525" y="47101125"/>
          <a:ext cx="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5</xdr:col>
      <xdr:colOff>914400</xdr:colOff>
      <xdr:row>177</xdr:row>
      <xdr:rowOff>38100</xdr:rowOff>
    </xdr:from>
    <xdr:to>
      <xdr:col>5</xdr:col>
      <xdr:colOff>923925</xdr:colOff>
      <xdr:row>193</xdr:row>
      <xdr:rowOff>57150</xdr:rowOff>
    </xdr:to>
    <xdr:sp macro="" textlink="">
      <xdr:nvSpPr>
        <xdr:cNvPr id="25" name="Line 36"/>
        <xdr:cNvSpPr>
          <a:spLocks noChangeShapeType="1"/>
        </xdr:cNvSpPr>
      </xdr:nvSpPr>
      <xdr:spPr bwMode="auto">
        <a:xfrm>
          <a:off x="7286625" y="30441900"/>
          <a:ext cx="9525" cy="2647950"/>
        </a:xfrm>
        <a:prstGeom prst="line">
          <a:avLst/>
        </a:prstGeom>
        <a:noFill/>
        <a:ln w="9525">
          <a:solidFill>
            <a:srgbClr val="FF0000"/>
          </a:solidFill>
          <a:round/>
          <a:headEnd type="diamond" w="med" len="med"/>
          <a:tailEnd type="stealth" w="med" len="med"/>
        </a:ln>
      </xdr:spPr>
    </xdr:sp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76200</xdr:colOff>
      <xdr:row>1</xdr:row>
      <xdr:rowOff>123825</xdr:rowOff>
    </xdr:to>
    <xdr:pic>
      <xdr:nvPicPr>
        <xdr:cNvPr id="29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762000" cy="2667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Tax/Tax%20Accounting%20-%20Reporting/Tax%20Provision%20Workpapers/2012/Q4%202012/GAAP%20Consolidation/GAAP%20Provision%20Model%20-%20Q4%202012%20Consolidated%20-%20Day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Tax/Tax%20Accounting%20-%20Reporting/Tax%20Provision%20Workpapers/2010/Q4%202010%20Close/GAAP%20Consolidation/GAAP%20Provision%20Model%20-%20Q4%202010%20Consolidated%20-%20Day%2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Co List"/>
      <sheetName val="Federal NOL-CP"/>
      <sheetName val="State NOL"/>
      <sheetName val="Federal NOL-APB28 AMT"/>
      <sheetName val="Federal AMT"/>
      <sheetName val="Federal NOL-APB28"/>
      <sheetName val="APB 28-Calc for AMT"/>
      <sheetName val="APB 28 analysis for disc ops"/>
      <sheetName val="QTR Consol Rt Recon-'12 to '11"/>
      <sheetName val="QTR Consol Rt Recon-Q4 to Q3"/>
      <sheetName val="YR Consol Rt Recon- Q3 12 to 11"/>
      <sheetName val="APB28 Adjustment for PT"/>
      <sheetName val="Journal Entries Calculation"/>
      <sheetName val="Sepco Rate Recon  Day 6"/>
      <sheetName val="Sepco Rate Recon "/>
      <sheetName val="Current Provision - JDE"/>
      <sheetName val="Current Provision - HYP"/>
      <sheetName val="APB 28-Calc W Disc Ops"/>
      <sheetName val="APB 28-Calc WO Disc Ops"/>
      <sheetName val="Footnote"/>
      <sheetName val="Hyperion-JDE Recon"/>
      <sheetName val="Taxinfo dwnld from HFM-12.31.12"/>
      <sheetName val="Taxinfo dwnld from HFM-12.31.11"/>
      <sheetName val="Input Sheet"/>
      <sheetName val="Reg Asset Amort"/>
      <sheetName val="Unitary Provision - Current"/>
      <sheetName val="Unitary Provision - Deferred"/>
      <sheetName val="FAS109 Snapshot - 2010 - Region"/>
      <sheetName val="Consolidated FAS109 2012"/>
      <sheetName val="Combined NE Region FAS109 2012"/>
      <sheetName val="Combined SE Region FAS109 2012"/>
      <sheetName val="Combined CE Region FAS109 2012"/>
      <sheetName val="Combined WE Region FAS109 2012"/>
      <sheetName val="Combined AWE FAS109 2012"/>
      <sheetName val="Combined ADJ Region FAS109 2012"/>
      <sheetName val="Cons Adj FAS109 2012"/>
      <sheetName val="AWW Adj Co FAS109 2012"/>
      <sheetName val="Disc Ops Adj FAS109 2012"/>
      <sheetName val="JDE Journal Entry-GAAP"/>
      <sheetName val="Macro (2)"/>
      <sheetName val="WV AW Unitary-IGNORE"/>
      <sheetName val="ACUS FAS109 2012"/>
      <sheetName val="ALWC FAS109 2012"/>
      <sheetName val="AWCC FAS109 2012"/>
      <sheetName val="AWE CANADA FAS109 2012"/>
      <sheetName val="AWE EMC FAS109 2012"/>
      <sheetName val="AWE USA FAS109 2012"/>
      <sheetName val="AWM FAS109 2012"/>
      <sheetName val="AWM-DE FAS109 2011"/>
      <sheetName val="AWR FAS109 2012"/>
      <sheetName val="AWS, LLC FAS109 2012"/>
      <sheetName val="AWWC FAS 109 2012"/>
      <sheetName val="Unitary FAS109 2012"/>
      <sheetName val="AZ FAS109 2012"/>
      <sheetName val="AWWSC FAS109 2012"/>
      <sheetName val="BFD FAS109 2012"/>
      <sheetName val="CA FAS109 2012"/>
      <sheetName val="EDISON FAS109 2012"/>
      <sheetName val="Eliz WS LLC FAS109 2012"/>
      <sheetName val="ETOWN LLC FAS109 2012"/>
      <sheetName val="ETP FAS109 2012"/>
      <sheetName val="EWS LLC FAS109 2012"/>
      <sheetName val="HI FAS109 2012"/>
      <sheetName val="HYDRO FAS109 2012"/>
      <sheetName val="IL FAS109 2012"/>
      <sheetName val="IA FAS109 2012"/>
      <sheetName val="IN FAS109 2012"/>
      <sheetName val="KY FAS109 2012"/>
      <sheetName val="LI FAS109 2012"/>
      <sheetName val="LIBERTY FAS109 2012"/>
      <sheetName val="LOP FAS109 2012"/>
      <sheetName val="MD FAS109 2012"/>
      <sheetName val="MI FAS109 2012"/>
      <sheetName val="MO FAS109 2012"/>
      <sheetName val="NJ FAS109 2012"/>
      <sheetName val="NM FAS109 2012"/>
      <sheetName val="NY FAS109 2012"/>
      <sheetName val="OH FAS109 2012"/>
      <sheetName val="PA FAS109 2012"/>
      <sheetName val="PWT FAS109 2012"/>
      <sheetName val="TN FAS109 2012"/>
      <sheetName val="TWH LLC FAS109 2012"/>
      <sheetName val="TWNA FAS109 2012"/>
      <sheetName val="TX FAS109 2012"/>
      <sheetName val="UESG FAS109 2012"/>
      <sheetName val="VA FAS109 2012"/>
      <sheetName val="WASTEWATER MGMT FAS109 2011"/>
      <sheetName val="WV FAS109 2012"/>
      <sheetName val="WASTEWATER SVCS FAS109 2011"/>
      <sheetName val="Open 2 FAS109 2012"/>
      <sheetName val="Coding (Do not delete)"/>
      <sheetName val="Worksheet (Do not delete)"/>
      <sheetName val="Consol Col &quot;W&quot; "/>
      <sheetName val="CY Pension-OPEB-Incentive"/>
      <sheetName val="CY FN Reclasses"/>
      <sheetName val="Fed NOL"/>
      <sheetName val="PY FN Reclasses"/>
      <sheetName val="Worksheet (Do not delete) (2)"/>
      <sheetName val="Worksheet (Do not delete) (3)"/>
      <sheetName val="AWCC Separate Company"/>
      <sheetName val="AWR Leasing Separate Company"/>
      <sheetName val="AWR SLP Separate Company"/>
      <sheetName val="AWWS Separate Company"/>
      <sheetName val="TN Separate Company"/>
      <sheetName val="TWNA Separate Company"/>
      <sheetName val="TX Calculation"/>
      <sheetName val="TX 1"/>
      <sheetName val="TX 2"/>
      <sheetName val="Michigan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1033</v>
          </cell>
          <cell r="G7">
            <v>1018</v>
          </cell>
          <cell r="H7">
            <v>1021</v>
          </cell>
          <cell r="I7">
            <v>21.1</v>
          </cell>
          <cell r="J7">
            <v>1038</v>
          </cell>
          <cell r="K7">
            <v>39</v>
          </cell>
          <cell r="L7">
            <v>1051</v>
          </cell>
          <cell r="M7">
            <v>54</v>
          </cell>
          <cell r="N7">
            <v>55</v>
          </cell>
          <cell r="O7">
            <v>56</v>
          </cell>
          <cell r="P7">
            <v>1057</v>
          </cell>
          <cell r="Q7">
            <v>1014</v>
          </cell>
          <cell r="R7">
            <v>1012</v>
          </cell>
          <cell r="S7">
            <v>1013</v>
          </cell>
          <cell r="T7">
            <v>1024</v>
          </cell>
          <cell r="U7">
            <v>1026</v>
          </cell>
          <cell r="V7">
            <v>1027</v>
          </cell>
          <cell r="W7">
            <v>1028</v>
          </cell>
          <cell r="X7">
            <v>1025</v>
          </cell>
          <cell r="Y7">
            <v>1010</v>
          </cell>
          <cell r="Z7">
            <v>1011</v>
          </cell>
          <cell r="AA7">
            <v>1016</v>
          </cell>
          <cell r="AB7">
            <v>1017</v>
          </cell>
          <cell r="AC7">
            <v>22</v>
          </cell>
          <cell r="AD7">
            <v>1044</v>
          </cell>
          <cell r="AE7">
            <v>50</v>
          </cell>
          <cell r="AG7">
            <v>1020</v>
          </cell>
          <cell r="AH7">
            <v>47</v>
          </cell>
          <cell r="AI7">
            <v>1015</v>
          </cell>
          <cell r="AJ7">
            <v>19</v>
          </cell>
          <cell r="AK7">
            <v>23</v>
          </cell>
          <cell r="AL7">
            <v>1030</v>
          </cell>
          <cell r="AM7">
            <v>1046</v>
          </cell>
          <cell r="AN7">
            <v>1080</v>
          </cell>
          <cell r="AO7">
            <v>1090</v>
          </cell>
          <cell r="AP7">
            <v>1091</v>
          </cell>
          <cell r="AQ7">
            <v>60</v>
          </cell>
          <cell r="AR7">
            <v>65</v>
          </cell>
          <cell r="AS7">
            <v>997</v>
          </cell>
          <cell r="AT7">
            <v>99023</v>
          </cell>
          <cell r="AU7">
            <v>99021</v>
          </cell>
          <cell r="AV7">
            <v>99020</v>
          </cell>
          <cell r="AW7">
            <v>990</v>
          </cell>
          <cell r="AX7" t="str">
            <v>AWE001</v>
          </cell>
          <cell r="AY7" t="str">
            <v>AWE002</v>
          </cell>
          <cell r="AZ7" t="str">
            <v>NE015</v>
          </cell>
          <cell r="BA7" t="str">
            <v>AWE003</v>
          </cell>
          <cell r="BB7" t="str">
            <v>NE004</v>
          </cell>
          <cell r="BC7" t="str">
            <v>NE002</v>
          </cell>
          <cell r="BD7" t="str">
            <v>NE016</v>
          </cell>
          <cell r="BE7" t="str">
            <v>NE003</v>
          </cell>
          <cell r="BF7" t="str">
            <v>NL002</v>
          </cell>
          <cell r="BG7" t="str">
            <v>AWE004</v>
          </cell>
          <cell r="BH7" t="str">
            <v>AWE005</v>
          </cell>
          <cell r="BI7" t="str">
            <v>SW007</v>
          </cell>
          <cell r="BJ7" t="str">
            <v>AWE006</v>
          </cell>
          <cell r="BK7" t="str">
            <v>AWE007</v>
          </cell>
          <cell r="BL7">
            <v>993</v>
          </cell>
          <cell r="BM7">
            <v>98723</v>
          </cell>
          <cell r="BN7">
            <v>992</v>
          </cell>
          <cell r="BO7">
            <v>991</v>
          </cell>
          <cell r="BQ7" t="str">
            <v>AWECAN001</v>
          </cell>
          <cell r="BR7" t="str">
            <v>AWECAN002</v>
          </cell>
          <cell r="BS7" t="str">
            <v>AWECAN003</v>
          </cell>
          <cell r="BT7" t="str">
            <v>AWECAN004</v>
          </cell>
          <cell r="BU7" t="str">
            <v>AWECAN005</v>
          </cell>
          <cell r="BV7" t="str">
            <v>AWECAN006</v>
          </cell>
          <cell r="BW7" t="str">
            <v>AWECAN007</v>
          </cell>
          <cell r="BX7" t="str">
            <v>AWECAN008</v>
          </cell>
          <cell r="BY7" t="str">
            <v>AWECAN009</v>
          </cell>
          <cell r="BZ7">
            <v>995</v>
          </cell>
        </row>
        <row r="8">
          <cell r="F8" t="str">
            <v>AWWS</v>
          </cell>
          <cell r="G8" t="str">
            <v>NJ</v>
          </cell>
          <cell r="H8" t="str">
            <v>AWR - LEASING</v>
          </cell>
          <cell r="I8" t="str">
            <v>AWR-SLP</v>
          </cell>
          <cell r="J8" t="str">
            <v>LI</v>
          </cell>
          <cell r="K8" t="str">
            <v>NY American</v>
          </cell>
          <cell r="L8" t="str">
            <v>E-TOWN LLC</v>
          </cell>
          <cell r="M8" t="str">
            <v>EDISON</v>
          </cell>
          <cell r="N8" t="str">
            <v>LIBERTY</v>
          </cell>
          <cell r="O8" t="str">
            <v>E-Town Services LLC</v>
          </cell>
          <cell r="P8" t="str">
            <v>E-TOWN PROPERTIES</v>
          </cell>
          <cell r="Q8" t="str">
            <v>BFV</v>
          </cell>
          <cell r="R8" t="str">
            <v>KY</v>
          </cell>
          <cell r="S8" t="str">
            <v>MD</v>
          </cell>
          <cell r="T8" t="str">
            <v>PA</v>
          </cell>
          <cell r="U8" t="str">
            <v>TN</v>
          </cell>
          <cell r="V8" t="str">
            <v>VA</v>
          </cell>
          <cell r="W8" t="str">
            <v>WV</v>
          </cell>
          <cell r="X8" t="str">
            <v>IL</v>
          </cell>
          <cell r="Y8" t="str">
            <v>IN</v>
          </cell>
          <cell r="Z8" t="str">
            <v>IA</v>
          </cell>
          <cell r="AA8" t="str">
            <v>MI</v>
          </cell>
          <cell r="AB8" t="str">
            <v>MO</v>
          </cell>
          <cell r="AC8" t="str">
            <v>OH</v>
          </cell>
          <cell r="AD8" t="str">
            <v>LAKE WATER</v>
          </cell>
          <cell r="AE8" t="str">
            <v>TX (FKA Dittman SW Utilities and Walker)</v>
          </cell>
          <cell r="AF8" t="str">
            <v>AWWC CA/MO/IL offset</v>
          </cell>
          <cell r="AG8" t="str">
            <v>AWW</v>
          </cell>
          <cell r="AH8" t="str">
            <v>AWS, LLC</v>
          </cell>
          <cell r="AI8" t="str">
            <v>CA</v>
          </cell>
          <cell r="AJ8" t="str">
            <v>NM</v>
          </cell>
          <cell r="AK8" t="str">
            <v>AZ</v>
          </cell>
          <cell r="AL8" t="str">
            <v>HI</v>
          </cell>
          <cell r="AM8" t="str">
            <v>AWCC</v>
          </cell>
          <cell r="AN8" t="str">
            <v>LOP</v>
          </cell>
          <cell r="AO8" t="str">
            <v>TWH LLC</v>
          </cell>
          <cell r="AP8" t="str">
            <v>TWNA</v>
          </cell>
          <cell r="AQ8" t="str">
            <v>PWT Waste</v>
          </cell>
          <cell r="AR8" t="str">
            <v>UESGH</v>
          </cell>
          <cell r="AS8" t="str">
            <v>AWM</v>
          </cell>
          <cell r="AT8" t="str">
            <v>AWM OF DE</v>
          </cell>
          <cell r="AU8" t="str">
            <v>APP WASTE</v>
          </cell>
          <cell r="AV8" t="str">
            <v>AWWM</v>
          </cell>
          <cell r="AW8" t="str">
            <v>Eliz Water Services LLC</v>
          </cell>
          <cell r="AX8" t="str">
            <v>AW Enterprise Inc.</v>
          </cell>
          <cell r="AY8" t="str">
            <v>AW Enterprise Holdings</v>
          </cell>
          <cell r="AZ8" t="str">
            <v>AW (USA) Inc</v>
          </cell>
          <cell r="BA8" t="str">
            <v>AW Oper &amp; Maint</v>
          </cell>
          <cell r="BB8" t="str">
            <v>AW Services CDM</v>
          </cell>
          <cell r="BC8" t="str">
            <v>AW Engineering</v>
          </cell>
          <cell r="BD8" t="str">
            <v>Utility Mgmt &amp; Engineering</v>
          </cell>
          <cell r="BE8" t="str">
            <v>Philip Automated Mgmt Controls</v>
          </cell>
          <cell r="BF8" t="str">
            <v>Mobile Residuals Mgmt (USA)</v>
          </cell>
          <cell r="BG8" t="str">
            <v>AAET, Inc</v>
          </cell>
          <cell r="BH8" t="str">
            <v>AW Industrials</v>
          </cell>
          <cell r="BI8" t="str">
            <v>AW Industrial Operations</v>
          </cell>
          <cell r="BJ8" t="str">
            <v>AAET, LLP</v>
          </cell>
          <cell r="BK8" t="str">
            <v>Pridesa</v>
          </cell>
          <cell r="BL8" t="str">
            <v>Purchase Accounting</v>
          </cell>
          <cell r="BM8" t="str">
            <v>OTHER TOPSIDE ADJUSTMENTS</v>
          </cell>
          <cell r="BN8" t="str">
            <v>CONSOLIDATION ADJUSTMENTS</v>
          </cell>
          <cell r="BO8" t="str">
            <v>Business Unit_IC</v>
          </cell>
          <cell r="BP8" t="str">
            <v>US 1120 Subtotal</v>
          </cell>
          <cell r="BQ8" t="str">
            <v>Carbon</v>
          </cell>
          <cell r="BR8" t="str">
            <v>AWS UI</v>
          </cell>
          <cell r="BS8" t="str">
            <v>Prism Berlie</v>
          </cell>
          <cell r="BT8" t="str">
            <v>Bramer</v>
          </cell>
          <cell r="BU8" t="str">
            <v>Canarehab</v>
          </cell>
          <cell r="BV8" t="str">
            <v>Terratec</v>
          </cell>
          <cell r="BW8" t="str">
            <v>AW Canada Corp</v>
          </cell>
          <cell r="BX8" t="str">
            <v>Trimax</v>
          </cell>
          <cell r="BY8" t="str">
            <v>HSC</v>
          </cell>
          <cell r="BZ8" t="str">
            <v>TW Puerto Rico</v>
          </cell>
        </row>
        <row r="9">
          <cell r="F9">
            <v>6</v>
          </cell>
          <cell r="G9">
            <v>7</v>
          </cell>
          <cell r="H9">
            <v>8</v>
          </cell>
          <cell r="J9">
            <v>10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BK9">
            <v>63</v>
          </cell>
          <cell r="BL9">
            <v>64</v>
          </cell>
          <cell r="BM9">
            <v>65</v>
          </cell>
          <cell r="BN9">
            <v>66</v>
          </cell>
          <cell r="BO9">
            <v>67</v>
          </cell>
          <cell r="BP9">
            <v>68</v>
          </cell>
          <cell r="BQ9">
            <v>69</v>
          </cell>
          <cell r="BR9">
            <v>70</v>
          </cell>
          <cell r="BS9">
            <v>71</v>
          </cell>
          <cell r="BT9">
            <v>72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</row>
        <row r="13">
          <cell r="F13">
            <v>503656</v>
          </cell>
          <cell r="G13">
            <v>156034415</v>
          </cell>
          <cell r="H13">
            <v>1874009</v>
          </cell>
          <cell r="I13">
            <v>0</v>
          </cell>
          <cell r="J13">
            <v>8169718</v>
          </cell>
          <cell r="K13">
            <v>5978167</v>
          </cell>
          <cell r="L13">
            <v>-4897641</v>
          </cell>
          <cell r="M13">
            <v>-1028448</v>
          </cell>
          <cell r="N13">
            <v>1587362</v>
          </cell>
          <cell r="O13">
            <v>527047</v>
          </cell>
          <cell r="P13">
            <v>29631</v>
          </cell>
          <cell r="Q13">
            <v>-25215</v>
          </cell>
          <cell r="R13">
            <v>24345139</v>
          </cell>
          <cell r="S13">
            <v>547498</v>
          </cell>
          <cell r="T13">
            <v>191841171</v>
          </cell>
          <cell r="U13">
            <v>8314778</v>
          </cell>
          <cell r="V13">
            <v>6806591</v>
          </cell>
          <cell r="W13">
            <v>15784016</v>
          </cell>
          <cell r="X13">
            <v>42172080</v>
          </cell>
          <cell r="Y13">
            <v>55128203</v>
          </cell>
          <cell r="Z13">
            <v>7226726</v>
          </cell>
          <cell r="AA13">
            <v>282840</v>
          </cell>
          <cell r="AB13">
            <v>80611365</v>
          </cell>
          <cell r="AC13">
            <v>87299</v>
          </cell>
          <cell r="AD13">
            <v>4154061</v>
          </cell>
          <cell r="AE13">
            <v>0</v>
          </cell>
          <cell r="AF13">
            <v>0</v>
          </cell>
          <cell r="AG13">
            <v>-99968583</v>
          </cell>
          <cell r="AH13">
            <v>0</v>
          </cell>
          <cell r="AI13">
            <v>39674149</v>
          </cell>
          <cell r="AJ13">
            <v>-143177</v>
          </cell>
          <cell r="AK13">
            <v>58137</v>
          </cell>
          <cell r="AL13">
            <v>1968960</v>
          </cell>
          <cell r="AM13">
            <v>0</v>
          </cell>
          <cell r="AN13">
            <v>130575</v>
          </cell>
          <cell r="AO13">
            <v>4811158</v>
          </cell>
          <cell r="AP13">
            <v>-95263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-388477</v>
          </cell>
          <cell r="AY13">
            <v>0</v>
          </cell>
          <cell r="AZ13">
            <v>0</v>
          </cell>
          <cell r="BA13">
            <v>11570321</v>
          </cell>
          <cell r="BB13">
            <v>98382</v>
          </cell>
          <cell r="BC13">
            <v>0</v>
          </cell>
          <cell r="BD13">
            <v>169651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385855</v>
          </cell>
          <cell r="BK13">
            <v>2486579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566812735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</row>
        <row r="14">
          <cell r="F14">
            <v>0</v>
          </cell>
          <cell r="G14">
            <v>523905</v>
          </cell>
          <cell r="H14">
            <v>0</v>
          </cell>
          <cell r="I14">
            <v>0</v>
          </cell>
          <cell r="J14">
            <v>-188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-77712</v>
          </cell>
          <cell r="S14">
            <v>18571</v>
          </cell>
          <cell r="T14">
            <v>-804532</v>
          </cell>
          <cell r="U14">
            <v>-134354</v>
          </cell>
          <cell r="V14">
            <v>129100</v>
          </cell>
          <cell r="W14">
            <v>-24786</v>
          </cell>
          <cell r="X14">
            <v>474767</v>
          </cell>
          <cell r="Y14">
            <v>-1406976</v>
          </cell>
          <cell r="Z14">
            <v>78890</v>
          </cell>
          <cell r="AA14">
            <v>38916</v>
          </cell>
          <cell r="AB14">
            <v>564733</v>
          </cell>
          <cell r="AC14">
            <v>9277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1012981</v>
          </cell>
          <cell r="AJ14">
            <v>8409</v>
          </cell>
          <cell r="AK14">
            <v>-56926</v>
          </cell>
          <cell r="AL14">
            <v>6547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360622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</row>
        <row r="15">
          <cell r="F15">
            <v>503656</v>
          </cell>
          <cell r="G15">
            <v>156558320</v>
          </cell>
          <cell r="H15">
            <v>1874009</v>
          </cell>
          <cell r="I15">
            <v>0</v>
          </cell>
          <cell r="J15">
            <v>8169530</v>
          </cell>
          <cell r="K15">
            <v>5978167</v>
          </cell>
          <cell r="L15">
            <v>-4897641</v>
          </cell>
          <cell r="M15">
            <v>-1028448</v>
          </cell>
          <cell r="N15">
            <v>1587362</v>
          </cell>
          <cell r="O15">
            <v>527047</v>
          </cell>
          <cell r="P15">
            <v>29631</v>
          </cell>
          <cell r="Q15">
            <v>-25215</v>
          </cell>
          <cell r="R15">
            <v>24267427</v>
          </cell>
          <cell r="S15">
            <v>566069</v>
          </cell>
          <cell r="T15">
            <v>191036639</v>
          </cell>
          <cell r="U15">
            <v>8180424</v>
          </cell>
          <cell r="V15">
            <v>6935691</v>
          </cell>
          <cell r="W15">
            <v>15759230</v>
          </cell>
          <cell r="X15">
            <v>42646847</v>
          </cell>
          <cell r="Y15">
            <v>53721227</v>
          </cell>
          <cell r="Z15">
            <v>7305616</v>
          </cell>
          <cell r="AA15">
            <v>321756</v>
          </cell>
          <cell r="AB15">
            <v>81176098</v>
          </cell>
          <cell r="AC15">
            <v>96576</v>
          </cell>
          <cell r="AD15">
            <v>4154061</v>
          </cell>
          <cell r="AE15">
            <v>0</v>
          </cell>
          <cell r="AF15">
            <v>0</v>
          </cell>
          <cell r="AG15">
            <v>-99968583</v>
          </cell>
          <cell r="AH15">
            <v>0</v>
          </cell>
          <cell r="AI15">
            <v>40687130</v>
          </cell>
          <cell r="AJ15">
            <v>-134768</v>
          </cell>
          <cell r="AK15">
            <v>1211</v>
          </cell>
          <cell r="AL15">
            <v>1975507</v>
          </cell>
          <cell r="AM15">
            <v>0</v>
          </cell>
          <cell r="AN15">
            <v>130575</v>
          </cell>
          <cell r="AO15">
            <v>4811158</v>
          </cell>
          <cell r="AP15">
            <v>-95263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-388477</v>
          </cell>
          <cell r="AY15">
            <v>0</v>
          </cell>
          <cell r="AZ15">
            <v>0</v>
          </cell>
          <cell r="BA15">
            <v>11570321</v>
          </cell>
          <cell r="BB15">
            <v>98382</v>
          </cell>
          <cell r="BC15">
            <v>0</v>
          </cell>
          <cell r="BD15">
            <v>169651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385855</v>
          </cell>
          <cell r="BK15">
            <v>2486579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567173357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</row>
        <row r="16">
          <cell r="F16">
            <v>454746.35085862508</v>
          </cell>
          <cell r="G16">
            <v>55140671.049249999</v>
          </cell>
          <cell r="H16">
            <v>774775.81326418242</v>
          </cell>
          <cell r="I16">
            <v>0</v>
          </cell>
          <cell r="J16">
            <v>3500640.6663850504</v>
          </cell>
          <cell r="K16">
            <v>2428130.9398049996</v>
          </cell>
          <cell r="L16">
            <v>-1710429.3499999999</v>
          </cell>
          <cell r="M16">
            <v>-420039.92074999999</v>
          </cell>
          <cell r="N16">
            <v>649223.94374999998</v>
          </cell>
          <cell r="O16">
            <v>184979.9</v>
          </cell>
          <cell r="P16">
            <v>12104.263499999999</v>
          </cell>
          <cell r="Q16">
            <v>-8399.25</v>
          </cell>
          <cell r="R16">
            <v>9769226.6838799994</v>
          </cell>
          <cell r="S16">
            <v>219599.78149625001</v>
          </cell>
          <cell r="T16">
            <v>78932986.77904366</v>
          </cell>
          <cell r="U16">
            <v>3612140.1232374995</v>
          </cell>
          <cell r="V16">
            <v>2533199.4754999997</v>
          </cell>
          <cell r="W16">
            <v>6387325.3821729077</v>
          </cell>
          <cell r="X16">
            <v>16795529.219502497</v>
          </cell>
          <cell r="Y16">
            <v>21512552.261397485</v>
          </cell>
          <cell r="Z16">
            <v>3275042.3236599998</v>
          </cell>
          <cell r="AA16">
            <v>125475.08922999998</v>
          </cell>
          <cell r="AB16">
            <v>31922856.3671875</v>
          </cell>
          <cell r="AC16">
            <v>33801.599999999999</v>
          </cell>
          <cell r="AD16">
            <v>1642931.1254999998</v>
          </cell>
          <cell r="AE16">
            <v>0</v>
          </cell>
          <cell r="AF16">
            <v>0</v>
          </cell>
          <cell r="AG16">
            <v>-34939404.743249997</v>
          </cell>
          <cell r="AH16">
            <v>0</v>
          </cell>
          <cell r="AI16">
            <v>16683861.0287876</v>
          </cell>
          <cell r="AJ16">
            <v>-51729.331149999998</v>
          </cell>
          <cell r="AK16">
            <v>423.84999999999997</v>
          </cell>
          <cell r="AL16">
            <v>777711.009372</v>
          </cell>
          <cell r="AM16">
            <v>0</v>
          </cell>
          <cell r="AN16">
            <v>46078.707499999997</v>
          </cell>
          <cell r="AO16">
            <v>1683905.2999999998</v>
          </cell>
          <cell r="AP16">
            <v>-33342.049999999996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4060369.2428179453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225996943.63194817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</row>
        <row r="17">
          <cell r="F17">
            <v>0.9028907644476093</v>
          </cell>
          <cell r="G17">
            <v>0.35220530629895619</v>
          </cell>
          <cell r="H17">
            <v>0.41343227981518893</v>
          </cell>
          <cell r="I17">
            <v>0</v>
          </cell>
          <cell r="J17">
            <v>0.42849964029571475</v>
          </cell>
          <cell r="K17">
            <v>0.406166462028411</v>
          </cell>
          <cell r="L17">
            <v>0.34923534615950819</v>
          </cell>
          <cell r="M17">
            <v>0.40842115571229659</v>
          </cell>
          <cell r="N17">
            <v>0.40899551819307756</v>
          </cell>
          <cell r="O17">
            <v>0.35097420154179798</v>
          </cell>
          <cell r="P17">
            <v>0.40849999999999997</v>
          </cell>
          <cell r="Q17">
            <v>0.33310529446757881</v>
          </cell>
          <cell r="R17">
            <v>0.40256540933985296</v>
          </cell>
          <cell r="S17">
            <v>0.38793818685752091</v>
          </cell>
          <cell r="T17">
            <v>0.4131824512419508</v>
          </cell>
          <cell r="U17">
            <v>0.44155903449961759</v>
          </cell>
          <cell r="V17">
            <v>0.36524110942947136</v>
          </cell>
          <cell r="W17">
            <v>0.4053069459721641</v>
          </cell>
          <cell r="X17">
            <v>0.39382815849205682</v>
          </cell>
          <cell r="Y17">
            <v>0.40044789485909332</v>
          </cell>
          <cell r="Z17">
            <v>0.44829105768219951</v>
          </cell>
          <cell r="AA17">
            <v>0.38996969514166008</v>
          </cell>
          <cell r="AB17">
            <v>0.39325438341699426</v>
          </cell>
          <cell r="AC17">
            <v>0.35</v>
          </cell>
          <cell r="AD17">
            <v>0.39549999999999996</v>
          </cell>
          <cell r="AE17">
            <v>0</v>
          </cell>
          <cell r="AF17">
            <v>0</v>
          </cell>
          <cell r="AG17">
            <v>0.34950385105738668</v>
          </cell>
          <cell r="AH17">
            <v>0</v>
          </cell>
          <cell r="AI17">
            <v>0.41005254066304503</v>
          </cell>
          <cell r="AJ17">
            <v>0.38383986665974118</v>
          </cell>
          <cell r="AK17">
            <v>0.35</v>
          </cell>
          <cell r="AL17">
            <v>0.39367666597587353</v>
          </cell>
          <cell r="AM17">
            <v>0</v>
          </cell>
          <cell r="AN17">
            <v>0.35289073329504111</v>
          </cell>
          <cell r="AO17">
            <v>0.35</v>
          </cell>
          <cell r="AP17">
            <v>0.35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0.35092969700822868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0.39846184740999419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-0.38997500000000002</v>
          </cell>
          <cell r="BN18">
            <v>0</v>
          </cell>
          <cell r="BO18">
            <v>-0.35</v>
          </cell>
        </row>
        <row r="24">
          <cell r="F24">
            <v>0.75019895737591724</v>
          </cell>
          <cell r="G24">
            <v>0.35220530629895619</v>
          </cell>
          <cell r="H24">
            <v>0.31584496729700146</v>
          </cell>
          <cell r="I24">
            <v>0</v>
          </cell>
          <cell r="J24">
            <v>0.34178480529578198</v>
          </cell>
          <cell r="K24">
            <v>0.31985127550050041</v>
          </cell>
          <cell r="L24">
            <v>0.34923534615950819</v>
          </cell>
          <cell r="M24">
            <v>0.31843852654679672</v>
          </cell>
          <cell r="N24">
            <v>0.31888634649815228</v>
          </cell>
          <cell r="O24">
            <v>0.35097420154179798</v>
          </cell>
          <cell r="P24">
            <v>0.31850000000000001</v>
          </cell>
          <cell r="Q24">
            <v>0.33310529446757881</v>
          </cell>
          <cell r="R24">
            <v>0.34119103721544114</v>
          </cell>
          <cell r="S24">
            <v>0.33358790584054232</v>
          </cell>
          <cell r="T24">
            <v>0.32521514946818214</v>
          </cell>
          <cell r="U24">
            <v>0.37054467317189183</v>
          </cell>
          <cell r="V24">
            <v>0.36524110942947136</v>
          </cell>
          <cell r="W24">
            <v>0.35713490194337211</v>
          </cell>
          <cell r="X24">
            <v>0.32487595939973363</v>
          </cell>
          <cell r="Y24">
            <v>0.32016448503138334</v>
          </cell>
          <cell r="Z24">
            <v>0.32610641488137343</v>
          </cell>
          <cell r="AA24">
            <v>0.32982012776762509</v>
          </cell>
          <cell r="AB24">
            <v>0.32999696965524877</v>
          </cell>
          <cell r="AC24">
            <v>0.35</v>
          </cell>
          <cell r="AD24">
            <v>0.32549999999999996</v>
          </cell>
          <cell r="AE24">
            <v>0</v>
          </cell>
          <cell r="AF24">
            <v>0</v>
          </cell>
          <cell r="AG24">
            <v>0.34950385105738668</v>
          </cell>
          <cell r="AH24">
            <v>0</v>
          </cell>
          <cell r="AI24">
            <v>0.32053445253778279</v>
          </cell>
          <cell r="AJ24">
            <v>0.32198563568502908</v>
          </cell>
          <cell r="AK24">
            <v>0.35</v>
          </cell>
          <cell r="AL24">
            <v>0.3293372721493773</v>
          </cell>
          <cell r="AM24">
            <v>0</v>
          </cell>
          <cell r="AN24">
            <v>0.35289073329504111</v>
          </cell>
          <cell r="AO24">
            <v>0.35</v>
          </cell>
          <cell r="AP24">
            <v>0.35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0.35092969700822868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0.32847500000000002</v>
          </cell>
          <cell r="BN24">
            <v>0</v>
          </cell>
          <cell r="BO24">
            <v>0.35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</row>
        <row r="25">
          <cell r="F25">
            <v>0.152691807071692</v>
          </cell>
          <cell r="G25">
            <v>0</v>
          </cell>
          <cell r="H25">
            <v>9.7587312518187488E-2</v>
          </cell>
          <cell r="I25">
            <v>0</v>
          </cell>
          <cell r="J25">
            <v>8.6714834999932697E-2</v>
          </cell>
          <cell r="K25">
            <v>8.6315186527910648E-2</v>
          </cell>
          <cell r="L25">
            <v>0</v>
          </cell>
          <cell r="M25">
            <v>8.9982629165499858E-2</v>
          </cell>
          <cell r="N25">
            <v>9.01091716949253E-2</v>
          </cell>
          <cell r="O25">
            <v>0</v>
          </cell>
          <cell r="P25">
            <v>0.09</v>
          </cell>
          <cell r="Q25">
            <v>0</v>
          </cell>
          <cell r="R25">
            <v>6.137437212441188E-2</v>
          </cell>
          <cell r="S25">
            <v>5.4350281016978516E-2</v>
          </cell>
          <cell r="T25">
            <v>8.7967301773768616E-2</v>
          </cell>
          <cell r="U25">
            <v>7.1014361327725803E-2</v>
          </cell>
          <cell r="V25">
            <v>0</v>
          </cell>
          <cell r="W25">
            <v>4.8172044028791994E-2</v>
          </cell>
          <cell r="X25">
            <v>6.8952199092323224E-2</v>
          </cell>
          <cell r="Y25">
            <v>8.0283409827709928E-2</v>
          </cell>
          <cell r="Z25">
            <v>0.12218464280082608</v>
          </cell>
          <cell r="AA25">
            <v>6.0149567374034978E-2</v>
          </cell>
          <cell r="AB25">
            <v>6.3257413761745498E-2</v>
          </cell>
          <cell r="AC25">
            <v>0</v>
          </cell>
          <cell r="AD25">
            <v>7.0000000000000007E-2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8.9518088125262227E-2</v>
          </cell>
          <cell r="AJ25">
            <v>6.1854230974712113E-2</v>
          </cell>
          <cell r="AK25">
            <v>0</v>
          </cell>
          <cell r="AL25">
            <v>6.43393938264962E-2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6.1499999999999999E-2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</row>
        <row r="27">
          <cell r="F27">
            <v>0.9028907644476093</v>
          </cell>
          <cell r="G27">
            <v>0.35220530629895619</v>
          </cell>
          <cell r="H27">
            <v>0.41343227981518893</v>
          </cell>
          <cell r="I27">
            <v>0</v>
          </cell>
          <cell r="J27">
            <v>0.42849964029571475</v>
          </cell>
          <cell r="K27">
            <v>0.406166462028411</v>
          </cell>
          <cell r="L27">
            <v>0.34923534615950819</v>
          </cell>
          <cell r="M27">
            <v>0.40842115571229659</v>
          </cell>
          <cell r="N27">
            <v>0.40899551819307756</v>
          </cell>
          <cell r="O27">
            <v>0.35097420154179798</v>
          </cell>
          <cell r="P27">
            <v>0.40849999999999997</v>
          </cell>
          <cell r="Q27">
            <v>0.33310529446757881</v>
          </cell>
          <cell r="R27">
            <v>0.40256540933985296</v>
          </cell>
          <cell r="S27">
            <v>0.38793818685752091</v>
          </cell>
          <cell r="T27">
            <v>0.4131824512419508</v>
          </cell>
          <cell r="U27">
            <v>0.44155903449961759</v>
          </cell>
          <cell r="V27">
            <v>0.36524110942947136</v>
          </cell>
          <cell r="W27">
            <v>0.4053069459721641</v>
          </cell>
          <cell r="X27">
            <v>0.39382815849205682</v>
          </cell>
          <cell r="Y27">
            <v>0.40044789485909332</v>
          </cell>
          <cell r="Z27">
            <v>0.44829105768219951</v>
          </cell>
          <cell r="AA27">
            <v>0.38996969514166008</v>
          </cell>
          <cell r="AB27">
            <v>0.39325438341699426</v>
          </cell>
          <cell r="AC27">
            <v>0.35</v>
          </cell>
          <cell r="AD27">
            <v>0.39549999999999996</v>
          </cell>
          <cell r="AE27">
            <v>0</v>
          </cell>
          <cell r="AF27">
            <v>0</v>
          </cell>
          <cell r="AG27">
            <v>0.34950385105738668</v>
          </cell>
          <cell r="AH27">
            <v>0</v>
          </cell>
          <cell r="AI27">
            <v>0.41005254066304503</v>
          </cell>
          <cell r="AJ27">
            <v>0.38383986665974118</v>
          </cell>
          <cell r="AK27">
            <v>0.35</v>
          </cell>
          <cell r="AL27">
            <v>0.39367666597587353</v>
          </cell>
          <cell r="AM27">
            <v>0</v>
          </cell>
          <cell r="AN27">
            <v>0.35289073329504111</v>
          </cell>
          <cell r="AO27">
            <v>0.35</v>
          </cell>
          <cell r="AP27">
            <v>0.35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0.35092969700822868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0.38997500000000002</v>
          </cell>
          <cell r="BN27">
            <v>0</v>
          </cell>
          <cell r="BO27">
            <v>0.35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</row>
        <row r="28">
          <cell r="F28">
            <v>0.9028907644476093</v>
          </cell>
          <cell r="G28">
            <v>1.1539891999262641E-4</v>
          </cell>
          <cell r="H28">
            <v>1.3258148474839415E-2</v>
          </cell>
          <cell r="I28">
            <v>-0.40084970057790725</v>
          </cell>
          <cell r="J28">
            <v>4.9283586144109881E-3</v>
          </cell>
          <cell r="K28">
            <v>-2.5197239625274204E-4</v>
          </cell>
          <cell r="L28">
            <v>7.1283846101444226E-5</v>
          </cell>
          <cell r="M28">
            <v>-3.5375922435521012E-5</v>
          </cell>
          <cell r="N28">
            <v>1.6607804139501248E-4</v>
          </cell>
          <cell r="O28">
            <v>3.9680887858953962E-2</v>
          </cell>
          <cell r="P28">
            <v>0</v>
          </cell>
          <cell r="Q28">
            <v>-8.6367613631470608E-3</v>
          </cell>
          <cell r="R28">
            <v>-3.7691231548930837E-4</v>
          </cell>
          <cell r="S28">
            <v>-4.823017864603929E-3</v>
          </cell>
          <cell r="T28">
            <v>-1.9910244393805954E-4</v>
          </cell>
          <cell r="U28">
            <v>-1.063503059470905E-2</v>
          </cell>
          <cell r="V28">
            <v>2.1205147922354617E-3</v>
          </cell>
          <cell r="W28">
            <v>-4.1130957126963019E-3</v>
          </cell>
          <cell r="X28">
            <v>0.39382815849205682</v>
          </cell>
          <cell r="Y28">
            <v>0.40044789485909332</v>
          </cell>
          <cell r="Z28">
            <v>5.462495896916586E-2</v>
          </cell>
          <cell r="AA28">
            <v>-1.3819282461033422E-2</v>
          </cell>
          <cell r="AB28">
            <v>-5.7897056636678212E-2</v>
          </cell>
          <cell r="AC28">
            <v>-3.3127001410773016E-2</v>
          </cell>
          <cell r="AD28">
            <v>1.8664590687733074E-3</v>
          </cell>
          <cell r="AE28">
            <v>0</v>
          </cell>
          <cell r="AF28">
            <v>-0.39550000000000002</v>
          </cell>
          <cell r="AG28">
            <v>0.34950385105738668</v>
          </cell>
          <cell r="AH28">
            <v>0</v>
          </cell>
          <cell r="AI28">
            <v>3.9292286744100013E-2</v>
          </cell>
          <cell r="AJ28">
            <v>0.38383986665974118</v>
          </cell>
          <cell r="AK28">
            <v>-6.0249970313638768E-2</v>
          </cell>
          <cell r="AL28">
            <v>0.39367666597587353</v>
          </cell>
          <cell r="AM28">
            <v>0</v>
          </cell>
          <cell r="AN28">
            <v>-4.0765717728794504E-2</v>
          </cell>
          <cell r="AO28">
            <v>-5.8499999999999996E-2</v>
          </cell>
          <cell r="AP28">
            <v>-4.5852111178390498E-4</v>
          </cell>
          <cell r="AQ28">
            <v>-0.35</v>
          </cell>
          <cell r="AR28">
            <v>-0.35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-0.33790156229263058</v>
          </cell>
          <cell r="AX28">
            <v>0</v>
          </cell>
          <cell r="AY28">
            <v>0</v>
          </cell>
          <cell r="AZ28">
            <v>-0.35092969700822868</v>
          </cell>
          <cell r="BA28">
            <v>0.35092969700822868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-0.35</v>
          </cell>
          <cell r="BO28">
            <v>-5.5803189778882101E-2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-0.26499999999999996</v>
          </cell>
        </row>
        <row r="29">
          <cell r="F29">
            <v>-4.7455208391954908</v>
          </cell>
          <cell r="G29">
            <v>3.9612358791188747E-2</v>
          </cell>
          <cell r="H29">
            <v>0.40865163254780879</v>
          </cell>
          <cell r="I29">
            <v>0</v>
          </cell>
          <cell r="J29">
            <v>-0.22936451253147172</v>
          </cell>
          <cell r="K29">
            <v>0.28160332574113867</v>
          </cell>
          <cell r="L29">
            <v>0.3220211344747399</v>
          </cell>
          <cell r="M29">
            <v>0.21234309166336071</v>
          </cell>
          <cell r="N29">
            <v>4.7648846983233774E-2</v>
          </cell>
          <cell r="O29">
            <v>-0.76379061070454812</v>
          </cell>
          <cell r="P29">
            <v>0.31849999999999995</v>
          </cell>
          <cell r="Q29">
            <v>0.37473804719413051</v>
          </cell>
          <cell r="R29">
            <v>0.23289284631579552</v>
          </cell>
          <cell r="S29">
            <v>-6.6646234595024917E-2</v>
          </cell>
          <cell r="T29">
            <v>-2.0701406456307754E-2</v>
          </cell>
          <cell r="U29">
            <v>3.1723237307156149E-2</v>
          </cell>
          <cell r="V29">
            <v>0.12018373020842998</v>
          </cell>
          <cell r="W29">
            <v>-0.11897237221638986</v>
          </cell>
          <cell r="X29">
            <v>4.8440045660324664E-2</v>
          </cell>
          <cell r="Y29">
            <v>8.9602127682957888E-2</v>
          </cell>
          <cell r="Z29">
            <v>0.17693503517222961</v>
          </cell>
          <cell r="AA29">
            <v>8.9947293498156861E-2</v>
          </cell>
          <cell r="AB29">
            <v>-2.1858707441065009E-2</v>
          </cell>
          <cell r="AC29">
            <v>0.32479660060470505</v>
          </cell>
          <cell r="AD29">
            <v>0.24127875187820083</v>
          </cell>
          <cell r="AE29">
            <v>0</v>
          </cell>
          <cell r="AF29">
            <v>0</v>
          </cell>
          <cell r="AG29">
            <v>0.34741844209153516</v>
          </cell>
          <cell r="AH29">
            <v>0</v>
          </cell>
          <cell r="AI29">
            <v>0.10659258269867426</v>
          </cell>
          <cell r="AJ29">
            <v>0.98130462053306411</v>
          </cell>
          <cell r="AK29">
            <v>0.32561200000000001</v>
          </cell>
          <cell r="AL29">
            <v>0.37088482382817206</v>
          </cell>
          <cell r="AM29">
            <v>0</v>
          </cell>
          <cell r="AN29">
            <v>0.32830130699904275</v>
          </cell>
          <cell r="AO29">
            <v>0.31850000000000001</v>
          </cell>
          <cell r="AP29">
            <v>0.31849999999999995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-1.4312032716434908E-2</v>
          </cell>
          <cell r="AZ29">
            <v>0</v>
          </cell>
          <cell r="BA29">
            <v>0.35092969700822868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4.7436678518606942E-4</v>
          </cell>
          <cell r="BG29">
            <v>0</v>
          </cell>
          <cell r="BH29">
            <v>-7.0550160538920191E-5</v>
          </cell>
          <cell r="BI29">
            <v>-5.8101944554699225E-3</v>
          </cell>
          <cell r="BJ29">
            <v>0</v>
          </cell>
          <cell r="BK29">
            <v>-9.3268974729940196E-2</v>
          </cell>
          <cell r="BL29">
            <v>0</v>
          </cell>
          <cell r="BM29">
            <v>0.2518800869649892</v>
          </cell>
          <cell r="BN29">
            <v>0</v>
          </cell>
          <cell r="BO29">
            <v>0.35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</row>
        <row r="30">
          <cell r="F30">
            <v>0.15372317740307853</v>
          </cell>
          <cell r="G30">
            <v>0</v>
          </cell>
          <cell r="H30">
            <v>9.7587312518187488E-2</v>
          </cell>
          <cell r="I30">
            <v>0</v>
          </cell>
          <cell r="J30">
            <v>-1.8492247032149946E-2</v>
          </cell>
          <cell r="K30">
            <v>7.8825184556470085E-2</v>
          </cell>
          <cell r="L30">
            <v>9.0994983054086639E-2</v>
          </cell>
          <cell r="M30">
            <v>6.0002757455894715E-2</v>
          </cell>
          <cell r="N30">
            <v>1.3464352365748949E-2</v>
          </cell>
          <cell r="O30">
            <v>0</v>
          </cell>
          <cell r="P30">
            <v>0.09</v>
          </cell>
          <cell r="Q30">
            <v>0</v>
          </cell>
          <cell r="R30">
            <v>4.0116224087815691E-2</v>
          </cell>
          <cell r="S30">
            <v>3.8839472125972732E-2</v>
          </cell>
          <cell r="T30">
            <v>4.6950699322517088E-2</v>
          </cell>
          <cell r="U30">
            <v>4.3259558046097032E-2</v>
          </cell>
          <cell r="V30">
            <v>0</v>
          </cell>
          <cell r="W30">
            <v>-2.8557054113109454E-2</v>
          </cell>
          <cell r="X30">
            <v>4.5847047414046223E-2</v>
          </cell>
          <cell r="Y30">
            <v>4.9914434859954733E-2</v>
          </cell>
          <cell r="Z30">
            <v>0.11410937606455544</v>
          </cell>
          <cell r="AA30">
            <v>5.0886282346871252E-2</v>
          </cell>
          <cell r="AB30">
            <v>-4.2510738271498063E-3</v>
          </cell>
          <cell r="AC30">
            <v>0</v>
          </cell>
          <cell r="AD30">
            <v>5.218898583099487E-2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4.0393567053742647E-2</v>
          </cell>
          <cell r="AJ30">
            <v>0.1885110263564051</v>
          </cell>
          <cell r="AK30">
            <v>6.9680000000000006E-2</v>
          </cell>
          <cell r="AL30">
            <v>8.390268241876167E-2</v>
          </cell>
          <cell r="AM30">
            <v>0</v>
          </cell>
          <cell r="AN30">
            <v>7.0255503702852787E-2</v>
          </cell>
          <cell r="AO30">
            <v>0.09</v>
          </cell>
          <cell r="AP30">
            <v>0.09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-1.5766441806192365E-2</v>
          </cell>
          <cell r="BL30">
            <v>0</v>
          </cell>
          <cell r="BM30">
            <v>4.7159221701337489E-2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</row>
        <row r="32">
          <cell r="F32">
            <v>-4.5917976617924117</v>
          </cell>
          <cell r="G32">
            <v>3.9612358791188747E-2</v>
          </cell>
          <cell r="H32">
            <v>0.50623894506599632</v>
          </cell>
          <cell r="I32">
            <v>0</v>
          </cell>
          <cell r="J32">
            <v>-0.24785675956362166</v>
          </cell>
          <cell r="K32">
            <v>0.36042851029760875</v>
          </cell>
          <cell r="L32">
            <v>0.41301611752882655</v>
          </cell>
          <cell r="M32">
            <v>0.27234584911925547</v>
          </cell>
          <cell r="N32">
            <v>6.1113199348982718E-2</v>
          </cell>
          <cell r="O32">
            <v>-0.76379061070454812</v>
          </cell>
          <cell r="P32">
            <v>0.40849999999999992</v>
          </cell>
          <cell r="Q32">
            <v>0.37473804719413051</v>
          </cell>
          <cell r="R32">
            <v>0.27300907040361122</v>
          </cell>
          <cell r="S32">
            <v>-2.7806762469052185E-2</v>
          </cell>
          <cell r="T32">
            <v>2.624929286620933E-2</v>
          </cell>
          <cell r="U32">
            <v>7.4982795353253195E-2</v>
          </cell>
          <cell r="V32">
            <v>0.12018373020842998</v>
          </cell>
          <cell r="W32">
            <v>-0.14752942632949931</v>
          </cell>
          <cell r="X32">
            <v>9.4287093074370887E-2</v>
          </cell>
          <cell r="Y32">
            <v>0.13951656254291261</v>
          </cell>
          <cell r="Z32">
            <v>0.29104441123678509</v>
          </cell>
          <cell r="AA32">
            <v>0.14083357584502812</v>
          </cell>
          <cell r="AB32">
            <v>-2.610978126821481E-2</v>
          </cell>
          <cell r="AC32">
            <v>0.32479660060470505</v>
          </cell>
          <cell r="AD32">
            <v>0.29346773770919571</v>
          </cell>
          <cell r="AE32" t="e">
            <v>#DIV/0!</v>
          </cell>
          <cell r="AF32">
            <v>0</v>
          </cell>
          <cell r="AG32">
            <v>0.34741844209153516</v>
          </cell>
          <cell r="AH32" t="e">
            <v>#DIV/0!</v>
          </cell>
          <cell r="AI32">
            <v>0.14698614975241689</v>
          </cell>
          <cell r="AJ32">
            <v>1.1698156468894692</v>
          </cell>
          <cell r="AK32">
            <v>0.39529199999999998</v>
          </cell>
          <cell r="AL32">
            <v>0.45478750624693376</v>
          </cell>
          <cell r="AM32">
            <v>0</v>
          </cell>
          <cell r="AN32">
            <v>0.39855681070189553</v>
          </cell>
          <cell r="AO32">
            <v>0.40850000000000003</v>
          </cell>
          <cell r="AP32">
            <v>0.40849999999999997</v>
          </cell>
          <cell r="AQ32" t="e">
            <v>#DIV/0!</v>
          </cell>
          <cell r="AR32" t="e">
            <v>#DIV/0!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-1.4312032716434908E-2</v>
          </cell>
          <cell r="AZ32">
            <v>0</v>
          </cell>
          <cell r="BA32">
            <v>0.35092969700822868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4.7436678518606942E-4</v>
          </cell>
          <cell r="BG32">
            <v>0</v>
          </cell>
          <cell r="BH32">
            <v>-7.0550160538920191E-5</v>
          </cell>
          <cell r="BI32">
            <v>-5.8101944554699225E-3</v>
          </cell>
          <cell r="BJ32">
            <v>0</v>
          </cell>
          <cell r="BK32">
            <v>-0.10903541653613257</v>
          </cell>
          <cell r="BL32">
            <v>0</v>
          </cell>
          <cell r="BM32">
            <v>0.29903930866632666</v>
          </cell>
          <cell r="BN32">
            <v>0</v>
          </cell>
          <cell r="BO32">
            <v>0.35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</row>
        <row r="34">
          <cell r="F34">
            <v>5.4957197965714082</v>
          </cell>
          <cell r="G34">
            <v>0.31259294750776745</v>
          </cell>
          <cell r="H34">
            <v>-9.280666525080733E-2</v>
          </cell>
          <cell r="I34">
            <v>0</v>
          </cell>
          <cell r="J34">
            <v>0.57114931782725376</v>
          </cell>
          <cell r="K34">
            <v>3.8247949759361743E-2</v>
          </cell>
          <cell r="L34">
            <v>2.7214211684768286E-2</v>
          </cell>
          <cell r="M34">
            <v>0.10609543488343601</v>
          </cell>
          <cell r="N34">
            <v>0.27123749951491849</v>
          </cell>
          <cell r="O34">
            <v>1.114764812246346</v>
          </cell>
          <cell r="P34">
            <v>0</v>
          </cell>
          <cell r="Q34">
            <v>-4.1632752726551703E-2</v>
          </cell>
          <cell r="R34">
            <v>0.10829819089964562</v>
          </cell>
          <cell r="S34">
            <v>0.40023414043556726</v>
          </cell>
          <cell r="T34">
            <v>0.34591655592448989</v>
          </cell>
          <cell r="U34">
            <v>0.33882143586473568</v>
          </cell>
          <cell r="V34">
            <v>0.24505737922104137</v>
          </cell>
          <cell r="W34">
            <v>0.47610727415976195</v>
          </cell>
          <cell r="X34">
            <v>0.27643591373940896</v>
          </cell>
          <cell r="Y34">
            <v>0.23056235734842545</v>
          </cell>
          <cell r="Z34">
            <v>0.14917137970914382</v>
          </cell>
          <cell r="AA34">
            <v>0.23987283426946823</v>
          </cell>
          <cell r="AB34">
            <v>0.35185567709631377</v>
          </cell>
          <cell r="AC34">
            <v>2.5203399395294923E-2</v>
          </cell>
          <cell r="AD34">
            <v>8.4221248121799125E-2</v>
          </cell>
          <cell r="AE34">
            <v>0</v>
          </cell>
          <cell r="AF34">
            <v>0</v>
          </cell>
          <cell r="AG34">
            <v>2.0854089658515207E-3</v>
          </cell>
          <cell r="AH34">
            <v>0</v>
          </cell>
          <cell r="AI34">
            <v>0.21394186983910851</v>
          </cell>
          <cell r="AJ34">
            <v>-0.65931898484803497</v>
          </cell>
          <cell r="AK34">
            <v>2.4387999999999965E-2</v>
          </cell>
          <cell r="AL34">
            <v>-4.1547551678794759E-2</v>
          </cell>
          <cell r="AM34">
            <v>0</v>
          </cell>
          <cell r="AN34">
            <v>2.4589426295998362E-2</v>
          </cell>
          <cell r="AO34">
            <v>3.1499999999999972E-2</v>
          </cell>
          <cell r="AP34">
            <v>3.1500000000000028E-2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1.4312032716434908E-2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-4.7436678518606942E-4</v>
          </cell>
          <cell r="BG34">
            <v>0</v>
          </cell>
          <cell r="BH34">
            <v>7.0550160538920191E-5</v>
          </cell>
          <cell r="BI34">
            <v>5.8101944554699225E-3</v>
          </cell>
          <cell r="BJ34">
            <v>0</v>
          </cell>
          <cell r="BK34">
            <v>9.3268974729940196E-2</v>
          </cell>
          <cell r="BL34">
            <v>0</v>
          </cell>
          <cell r="BM34">
            <v>7.6594913035010842E-2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F35">
            <v>-1.031370331386533E-3</v>
          </cell>
          <cell r="G35">
            <v>0</v>
          </cell>
          <cell r="H35">
            <v>0</v>
          </cell>
          <cell r="I35">
            <v>0</v>
          </cell>
          <cell r="J35">
            <v>0.10520708203208265</v>
          </cell>
          <cell r="K35">
            <v>7.490001971440563E-3</v>
          </cell>
          <cell r="L35">
            <v>-9.0994983054086639E-2</v>
          </cell>
          <cell r="M35">
            <v>2.9979871709605144E-2</v>
          </cell>
          <cell r="N35">
            <v>7.6644819329176356E-2</v>
          </cell>
          <cell r="O35">
            <v>0</v>
          </cell>
          <cell r="P35">
            <v>0</v>
          </cell>
          <cell r="Q35">
            <v>0</v>
          </cell>
          <cell r="R35">
            <v>2.1258148036596189E-2</v>
          </cell>
          <cell r="S35">
            <v>1.5510808891005784E-2</v>
          </cell>
          <cell r="T35">
            <v>4.1016602451251528E-2</v>
          </cell>
          <cell r="U35">
            <v>2.775480328162877E-2</v>
          </cell>
          <cell r="V35">
            <v>0</v>
          </cell>
          <cell r="W35">
            <v>7.6729098141901445E-2</v>
          </cell>
          <cell r="X35">
            <v>2.3105151678277001E-2</v>
          </cell>
          <cell r="Y35">
            <v>3.0368974967755195E-2</v>
          </cell>
          <cell r="Z35">
            <v>8.0752667362706393E-3</v>
          </cell>
          <cell r="AA35">
            <v>9.2632850271637257E-3</v>
          </cell>
          <cell r="AB35">
            <v>6.75084875888953E-2</v>
          </cell>
          <cell r="AC35">
            <v>0</v>
          </cell>
          <cell r="AD35">
            <v>1.7811014169005136E-2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4.9124521071519579E-2</v>
          </cell>
          <cell r="AJ35">
            <v>-0.126656795381693</v>
          </cell>
          <cell r="AK35">
            <v>-6.9680000000000006E-2</v>
          </cell>
          <cell r="AL35">
            <v>-1.9563288592265471E-2</v>
          </cell>
          <cell r="AM35">
            <v>0</v>
          </cell>
          <cell r="AN35">
            <v>-7.0255503702852787E-2</v>
          </cell>
          <cell r="AO35">
            <v>-0.09</v>
          </cell>
          <cell r="AP35">
            <v>-0.09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1.5766441806192365E-2</v>
          </cell>
          <cell r="BL35">
            <v>0</v>
          </cell>
          <cell r="BM35">
            <v>1.4340778298662506E-2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7">
          <cell r="F37">
            <v>5.494688426240022</v>
          </cell>
          <cell r="G37">
            <v>0.31259294750776745</v>
          </cell>
          <cell r="H37">
            <v>-9.280666525080733E-2</v>
          </cell>
          <cell r="I37">
            <v>0</v>
          </cell>
          <cell r="J37">
            <v>0.67635639985933638</v>
          </cell>
          <cell r="K37">
            <v>4.5737951730802306E-2</v>
          </cell>
          <cell r="L37">
            <v>-6.3780771369318354E-2</v>
          </cell>
          <cell r="M37">
            <v>0.13607530659304115</v>
          </cell>
          <cell r="N37">
            <v>0.34788231884409482</v>
          </cell>
          <cell r="O37">
            <v>1.114764812246346</v>
          </cell>
          <cell r="P37">
            <v>0</v>
          </cell>
          <cell r="Q37">
            <v>-4.1632752726551703E-2</v>
          </cell>
          <cell r="R37">
            <v>0.1295563389362418</v>
          </cell>
          <cell r="S37">
            <v>0.41574494932657302</v>
          </cell>
          <cell r="T37">
            <v>0.38693315837574144</v>
          </cell>
          <cell r="U37">
            <v>0.36657623914636445</v>
          </cell>
          <cell r="V37">
            <v>0.24505737922104137</v>
          </cell>
          <cell r="W37">
            <v>0.55283637230166338</v>
          </cell>
          <cell r="X37">
            <v>0.29954106541768594</v>
          </cell>
          <cell r="Y37">
            <v>0.26093133231618065</v>
          </cell>
          <cell r="Z37">
            <v>0.15724664644541447</v>
          </cell>
          <cell r="AA37">
            <v>0.24913611929663196</v>
          </cell>
          <cell r="AB37">
            <v>0.4193641646852091</v>
          </cell>
          <cell r="AC37">
            <v>2.5203399395294923E-2</v>
          </cell>
          <cell r="AD37">
            <v>0.10203226229080425</v>
          </cell>
          <cell r="AE37">
            <v>0</v>
          </cell>
          <cell r="AF37">
            <v>0</v>
          </cell>
          <cell r="AG37">
            <v>2.0854089658515207E-3</v>
          </cell>
          <cell r="AH37">
            <v>0</v>
          </cell>
          <cell r="AI37">
            <v>0.26306639091062811</v>
          </cell>
          <cell r="AJ37">
            <v>-0.78597578022972803</v>
          </cell>
          <cell r="AK37">
            <v>-4.5292000000000041E-2</v>
          </cell>
          <cell r="AL37">
            <v>-6.1110840271060229E-2</v>
          </cell>
          <cell r="AM37">
            <v>0</v>
          </cell>
          <cell r="AN37">
            <v>-4.5666077406854425E-2</v>
          </cell>
          <cell r="AO37">
            <v>-5.8500000000000024E-2</v>
          </cell>
          <cell r="AP37">
            <v>-5.8499999999999969E-2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1.4312032716434908E-2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-4.7436678518606942E-4</v>
          </cell>
          <cell r="BG37">
            <v>0</v>
          </cell>
          <cell r="BH37">
            <v>7.0550160538920191E-5</v>
          </cell>
          <cell r="BI37">
            <v>5.8101944554699225E-3</v>
          </cell>
          <cell r="BJ37">
            <v>0</v>
          </cell>
          <cell r="BK37">
            <v>0.10903541653613257</v>
          </cell>
          <cell r="BL37">
            <v>0</v>
          </cell>
          <cell r="BM37">
            <v>9.0935691333673352E-2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</row>
        <row r="52">
          <cell r="F52">
            <v>2390110.043785844</v>
          </cell>
          <cell r="G52">
            <v>-6201644.3435857408</v>
          </cell>
          <cell r="H52">
            <v>-765816.83725928655</v>
          </cell>
          <cell r="I52">
            <v>0</v>
          </cell>
          <cell r="J52">
            <v>1873800.2660612341</v>
          </cell>
          <cell r="K52">
            <v>-1683471.7090359258</v>
          </cell>
          <cell r="L52">
            <v>1577143.9110699997</v>
          </cell>
          <cell r="M52">
            <v>218383.82793500001</v>
          </cell>
          <cell r="N52">
            <v>-75635.969044999933</v>
          </cell>
          <cell r="O52">
            <v>402553.55</v>
          </cell>
          <cell r="P52">
            <v>-9437.4734999999982</v>
          </cell>
          <cell r="Q52">
            <v>9449.0198600000003</v>
          </cell>
          <cell r="R52">
            <v>-5651710.1467907866</v>
          </cell>
          <cell r="S52">
            <v>37726.367370971158</v>
          </cell>
          <cell r="T52">
            <v>3954727.1119859335</v>
          </cell>
          <cell r="U52">
            <v>-259509.53182515554</v>
          </cell>
          <cell r="V52">
            <v>-833557.21595303598</v>
          </cell>
          <cell r="W52">
            <v>1874912.9774036976</v>
          </cell>
          <cell r="X52">
            <v>-2065815.21594888</v>
          </cell>
          <cell r="Y52">
            <v>-4813536.2409391645</v>
          </cell>
          <cell r="Z52">
            <v>-1292619.4239148034</v>
          </cell>
          <cell r="AA52">
            <v>-28941.081366792958</v>
          </cell>
          <cell r="AB52">
            <v>1774404.5773892223</v>
          </cell>
          <cell r="AC52">
            <v>-31367.556499999995</v>
          </cell>
          <cell r="AD52">
            <v>-1002286.6533059109</v>
          </cell>
          <cell r="AE52">
            <v>0</v>
          </cell>
          <cell r="AF52">
            <v>0</v>
          </cell>
          <cell r="AG52">
            <v>34730929.363958329</v>
          </cell>
          <cell r="AH52">
            <v>0</v>
          </cell>
          <cell r="AI52">
            <v>-4336946.2692967104</v>
          </cell>
          <cell r="AJ52">
            <v>132248.46109999999</v>
          </cell>
          <cell r="AK52">
            <v>-394.31613200000004</v>
          </cell>
          <cell r="AL52">
            <v>-732685.56566632073</v>
          </cell>
          <cell r="AM52">
            <v>0</v>
          </cell>
          <cell r="AN52">
            <v>-42867.943161400006</v>
          </cell>
          <cell r="AO52">
            <v>-1532353.8230000001</v>
          </cell>
          <cell r="AP52">
            <v>30341.265499999994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-4060369.2428179453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231920.67391499996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13817684.858290376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</row>
        <row r="53">
          <cell r="F53">
            <v>-77423.600638124917</v>
          </cell>
          <cell r="G53">
            <v>0</v>
          </cell>
          <cell r="H53">
            <v>-182879.50194489601</v>
          </cell>
          <cell r="I53">
            <v>0</v>
          </cell>
          <cell r="J53">
            <v>151072.96689655996</v>
          </cell>
          <cell r="K53">
            <v>-471230.1170843991</v>
          </cell>
          <cell r="L53">
            <v>445660.75979999994</v>
          </cell>
          <cell r="M53">
            <v>61709.71590000001</v>
          </cell>
          <cell r="N53">
            <v>-21372.801299999985</v>
          </cell>
          <cell r="O53">
            <v>0</v>
          </cell>
          <cell r="P53">
            <v>-2666.79</v>
          </cell>
          <cell r="Q53">
            <v>0</v>
          </cell>
          <cell r="R53">
            <v>-973517.53956670885</v>
          </cell>
          <cell r="S53">
            <v>-21985.821146877257</v>
          </cell>
          <cell r="T53">
            <v>-8969303.797273241</v>
          </cell>
          <cell r="U53">
            <v>-353881.52686968527</v>
          </cell>
          <cell r="V53">
            <v>0</v>
          </cell>
          <cell r="W53">
            <v>450037.18389093789</v>
          </cell>
          <cell r="X53">
            <v>-1955232.016468575</v>
          </cell>
          <cell r="Y53">
            <v>-2681464.6856883415</v>
          </cell>
          <cell r="Z53">
            <v>-833639.28352723329</v>
          </cell>
          <cell r="AA53">
            <v>-16372.966662799907</v>
          </cell>
          <cell r="AB53">
            <v>345085.58559794776</v>
          </cell>
          <cell r="AC53">
            <v>0</v>
          </cell>
          <cell r="AD53">
            <v>-216796.23067008838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-1643498.3138793441</v>
          </cell>
          <cell r="AJ53">
            <v>25405.254000000001</v>
          </cell>
          <cell r="AK53">
            <v>-84.382480000000001</v>
          </cell>
          <cell r="AL53">
            <v>-165750.33643704062</v>
          </cell>
          <cell r="AM53">
            <v>0</v>
          </cell>
          <cell r="AN53">
            <v>-9173.6123960000023</v>
          </cell>
          <cell r="AO53">
            <v>-433004.22</v>
          </cell>
          <cell r="AP53">
            <v>8573.67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39204.503100000009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-17502527.904847905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</row>
        <row r="54">
          <cell r="F54">
            <v>-2767952.2498619691</v>
          </cell>
          <cell r="G54">
            <v>-48939026.705664262</v>
          </cell>
          <cell r="H54">
            <v>173920.5259400002</v>
          </cell>
          <cell r="I54">
            <v>0</v>
          </cell>
          <cell r="J54">
            <v>-4666021.4864692846</v>
          </cell>
          <cell r="K54">
            <v>-228652.63106907433</v>
          </cell>
          <cell r="L54">
            <v>133285.43893000024</v>
          </cell>
          <cell r="M54">
            <v>109113.63781499999</v>
          </cell>
          <cell r="N54">
            <v>-430552.09970500006</v>
          </cell>
          <cell r="O54">
            <v>-587533.44999999995</v>
          </cell>
          <cell r="P54">
            <v>0</v>
          </cell>
          <cell r="Q54">
            <v>-1049.7698600000012</v>
          </cell>
          <cell r="R54">
            <v>-2628118.4418892143</v>
          </cell>
          <cell r="S54">
            <v>-226560.13964222113</v>
          </cell>
          <cell r="T54">
            <v>-66082736.218270086</v>
          </cell>
          <cell r="U54">
            <v>-2771703.0056623444</v>
          </cell>
          <cell r="V54">
            <v>-1699642.2595469637</v>
          </cell>
          <cell r="W54">
            <v>-7503084.038156745</v>
          </cell>
          <cell r="X54">
            <v>-11789120.118549772</v>
          </cell>
          <cell r="Y54">
            <v>-12386092.736769881</v>
          </cell>
          <cell r="Z54">
            <v>-1089788.8183451965</v>
          </cell>
          <cell r="AA54">
            <v>-77180.523663207015</v>
          </cell>
          <cell r="AB54">
            <v>-28562270.925826721</v>
          </cell>
          <cell r="AC54">
            <v>-2434.0435000000025</v>
          </cell>
          <cell r="AD54">
            <v>-349860.20219408901</v>
          </cell>
          <cell r="AE54">
            <v>0</v>
          </cell>
          <cell r="AF54">
            <v>0</v>
          </cell>
          <cell r="AG54">
            <v>208475.37929167191</v>
          </cell>
          <cell r="AH54">
            <v>0</v>
          </cell>
          <cell r="AI54">
            <v>-8704680.6705868877</v>
          </cell>
          <cell r="AJ54">
            <v>-88855.100949999978</v>
          </cell>
          <cell r="AK54">
            <v>-29.533867999999959</v>
          </cell>
          <cell r="AL54">
            <v>82077.47917432079</v>
          </cell>
          <cell r="AM54">
            <v>0</v>
          </cell>
          <cell r="AN54">
            <v>-3210.7643385999863</v>
          </cell>
          <cell r="AO54">
            <v>-151551.47699999987</v>
          </cell>
          <cell r="AP54">
            <v>3000.7845000000025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-231920.67391499996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-201259754.83965355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</row>
        <row r="55">
          <cell r="F55">
            <v>519.45585562481563</v>
          </cell>
          <cell r="G55">
            <v>0</v>
          </cell>
          <cell r="H55">
            <v>0</v>
          </cell>
          <cell r="I55">
            <v>0</v>
          </cell>
          <cell r="J55">
            <v>-859492.41287356021</v>
          </cell>
          <cell r="K55">
            <v>-44776.482615600915</v>
          </cell>
          <cell r="L55">
            <v>-445660.75979999994</v>
          </cell>
          <cell r="M55">
            <v>30832.739099999992</v>
          </cell>
          <cell r="N55">
            <v>-121663.07370000004</v>
          </cell>
          <cell r="O55">
            <v>0</v>
          </cell>
          <cell r="P55">
            <v>0</v>
          </cell>
          <cell r="Q55">
            <v>0</v>
          </cell>
          <cell r="R55">
            <v>-515880.55563329137</v>
          </cell>
          <cell r="S55">
            <v>-8780.1880781227537</v>
          </cell>
          <cell r="T55">
            <v>-7835673.8754862538</v>
          </cell>
          <cell r="U55">
            <v>-227046.05888031475</v>
          </cell>
          <cell r="V55">
            <v>0</v>
          </cell>
          <cell r="W55">
            <v>-1209191.5053107976</v>
          </cell>
          <cell r="X55">
            <v>-985361.86853527254</v>
          </cell>
          <cell r="Y55">
            <v>-1631458.5980000945</v>
          </cell>
          <cell r="Z55">
            <v>-58994.797872766561</v>
          </cell>
          <cell r="AA55">
            <v>-2980.5175372000917</v>
          </cell>
          <cell r="AB55">
            <v>-5480075.6043479489</v>
          </cell>
          <cell r="AC55">
            <v>0</v>
          </cell>
          <cell r="AD55">
            <v>-73988.03932991164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-1998735.7750246564</v>
          </cell>
          <cell r="AJ55">
            <v>-17069.283000000003</v>
          </cell>
          <cell r="AK55">
            <v>84.382480000000001</v>
          </cell>
          <cell r="AL55">
            <v>38647.413557040585</v>
          </cell>
          <cell r="AM55">
            <v>0</v>
          </cell>
          <cell r="AN55">
            <v>9173.6123960000023</v>
          </cell>
          <cell r="AO55">
            <v>433004.22</v>
          </cell>
          <cell r="AP55">
            <v>-8573.67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-39204.503100000009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-21052345.745737128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</row>
        <row r="56">
          <cell r="F56">
            <v>-2390110.043785844</v>
          </cell>
          <cell r="G56">
            <v>6180891.230753243</v>
          </cell>
          <cell r="H56">
            <v>765816.83725928655</v>
          </cell>
          <cell r="I56">
            <v>0</v>
          </cell>
          <cell r="J56">
            <v>-1873843.38658959</v>
          </cell>
          <cell r="K56">
            <v>1683471.7090359258</v>
          </cell>
          <cell r="L56">
            <v>-1577143.9110699997</v>
          </cell>
          <cell r="M56">
            <v>-218383.82793500001</v>
          </cell>
          <cell r="N56">
            <v>75635.969044999933</v>
          </cell>
          <cell r="O56">
            <v>-402553.55</v>
          </cell>
          <cell r="P56">
            <v>9437.4734999999982</v>
          </cell>
          <cell r="Q56">
            <v>-9449.0198600000003</v>
          </cell>
          <cell r="R56">
            <v>5669808.7156636799</v>
          </cell>
          <cell r="S56">
            <v>-36488.68014830695</v>
          </cell>
          <cell r="T56">
            <v>-3971382.05592504</v>
          </cell>
          <cell r="U56">
            <v>263771.67565032118</v>
          </cell>
          <cell r="V56">
            <v>818041.49638312764</v>
          </cell>
          <cell r="W56">
            <v>-1877861.826621453</v>
          </cell>
          <cell r="X56">
            <v>2042817.4807908644</v>
          </cell>
          <cell r="Y56">
            <v>4939604.284138022</v>
          </cell>
          <cell r="Z56">
            <v>1278661.0189900661</v>
          </cell>
          <cell r="AA56">
            <v>25440.692493018687</v>
          </cell>
          <cell r="AB56">
            <v>-1762060.2439599074</v>
          </cell>
          <cell r="AC56">
            <v>28354.418436190146</v>
          </cell>
          <cell r="AD56">
            <v>1002286.6533059109</v>
          </cell>
          <cell r="AE56">
            <v>0</v>
          </cell>
          <cell r="AF56">
            <v>0</v>
          </cell>
          <cell r="AG56">
            <v>-34730929.363958329</v>
          </cell>
          <cell r="AH56">
            <v>0</v>
          </cell>
          <cell r="AI56">
            <v>4228970.0082820244</v>
          </cell>
          <cell r="AJ56">
            <v>-140500.25165406251</v>
          </cell>
          <cell r="AK56">
            <v>18930.104844000001</v>
          </cell>
          <cell r="AL56">
            <v>730257.38272471761</v>
          </cell>
          <cell r="AM56">
            <v>0</v>
          </cell>
          <cell r="AN56">
            <v>42867.943161400006</v>
          </cell>
          <cell r="AO56">
            <v>1532353.8230000001</v>
          </cell>
          <cell r="AP56">
            <v>-30341.265499999994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4060369.2428179453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-231920.67391499996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-13855179.940647794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</row>
        <row r="57">
          <cell r="F57">
            <v>77423.600638124917</v>
          </cell>
          <cell r="G57">
            <v>0</v>
          </cell>
          <cell r="H57">
            <v>182879.50194489601</v>
          </cell>
          <cell r="I57">
            <v>0</v>
          </cell>
          <cell r="J57">
            <v>-151076.443439002</v>
          </cell>
          <cell r="K57">
            <v>471230.1170843991</v>
          </cell>
          <cell r="L57">
            <v>-445660.75979999994</v>
          </cell>
          <cell r="M57">
            <v>-61709.71590000001</v>
          </cell>
          <cell r="N57">
            <v>21372.801299999985</v>
          </cell>
          <cell r="O57">
            <v>0</v>
          </cell>
          <cell r="P57">
            <v>2666.79</v>
          </cell>
          <cell r="Q57">
            <v>0</v>
          </cell>
          <cell r="R57">
            <v>976635.05157302122</v>
          </cell>
          <cell r="S57">
            <v>21264.533310025818</v>
          </cell>
          <cell r="T57">
            <v>9007077.1373005845</v>
          </cell>
          <cell r="U57">
            <v>359693.62153141061</v>
          </cell>
          <cell r="V57">
            <v>0</v>
          </cell>
          <cell r="W57">
            <v>-450744.99903418543</v>
          </cell>
          <cell r="X57">
            <v>1933465.3513089505</v>
          </cell>
          <cell r="Y57">
            <v>2751693.0975898611</v>
          </cell>
          <cell r="Z57">
            <v>824637.19484950055</v>
          </cell>
          <cell r="AA57">
            <v>14392.676098989064</v>
          </cell>
          <cell r="AB57">
            <v>-342684.86392231996</v>
          </cell>
          <cell r="AC57">
            <v>0</v>
          </cell>
          <cell r="AD57">
            <v>216796.23067008838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1602580.3979316768</v>
          </cell>
          <cell r="AJ57">
            <v>-26990.443220631012</v>
          </cell>
          <cell r="AK57">
            <v>4050.9861600000004</v>
          </cell>
          <cell r="AL57">
            <v>165201.02557524497</v>
          </cell>
          <cell r="AM57">
            <v>0</v>
          </cell>
          <cell r="AN57">
            <v>9173.6123960000023</v>
          </cell>
          <cell r="AO57">
            <v>433004.22</v>
          </cell>
          <cell r="AP57">
            <v>-8573.67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-39204.503100000009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17548592.548846636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</row>
        <row r="58">
          <cell r="F58">
            <v>0</v>
          </cell>
          <cell r="G58">
            <v>20753.11283249774</v>
          </cell>
          <cell r="H58">
            <v>0</v>
          </cell>
          <cell r="I58">
            <v>0</v>
          </cell>
          <cell r="J58">
            <v>43.120528355916683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-18098.568872893102</v>
          </cell>
          <cell r="S58">
            <v>-1237.6872226642076</v>
          </cell>
          <cell r="T58">
            <v>16654.94393910619</v>
          </cell>
          <cell r="U58">
            <v>-4262.1438251656573</v>
          </cell>
          <cell r="V58">
            <v>15515.719569908311</v>
          </cell>
          <cell r="W58">
            <v>2948.849217755439</v>
          </cell>
          <cell r="X58">
            <v>22997.735158015359</v>
          </cell>
          <cell r="Y58">
            <v>-126068.04319885735</v>
          </cell>
          <cell r="Z58">
            <v>13958.404924737193</v>
          </cell>
          <cell r="AA58">
            <v>3500.3888737742723</v>
          </cell>
          <cell r="AB58">
            <v>-12344.333429314966</v>
          </cell>
          <cell r="AC58">
            <v>3013.138063809849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107976.26101468575</v>
          </cell>
          <cell r="AJ58">
            <v>8251.7905540625361</v>
          </cell>
          <cell r="AK58">
            <v>-18535.788712000001</v>
          </cell>
          <cell r="AL58">
            <v>2428.1829416030423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37495.082357416322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3.4765424420441899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-3117.5120063123331</v>
          </cell>
          <cell r="S59">
            <v>721.28783685143958</v>
          </cell>
          <cell r="T59">
            <v>-37773.340027343314</v>
          </cell>
          <cell r="U59">
            <v>-5812.0946617253203</v>
          </cell>
          <cell r="V59">
            <v>0</v>
          </cell>
          <cell r="W59">
            <v>707.81514324753095</v>
          </cell>
          <cell r="X59">
            <v>21766.665159624485</v>
          </cell>
          <cell r="Y59">
            <v>-70228.411901519677</v>
          </cell>
          <cell r="Z59">
            <v>9002.0886777327796</v>
          </cell>
          <cell r="AA59">
            <v>1980.2905638108416</v>
          </cell>
          <cell r="AB59">
            <v>-2400.7216756277917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40917.915947667279</v>
          </cell>
          <cell r="AJ59">
            <v>1585.1892206310104</v>
          </cell>
          <cell r="AK59">
            <v>-3966.6036800000002</v>
          </cell>
          <cell r="AL59">
            <v>549.3108617956326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-46064.643998725405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F60">
            <v>2767952.2498619691</v>
          </cell>
          <cell r="G60">
            <v>48939026.705664262</v>
          </cell>
          <cell r="H60">
            <v>-173920.5259400002</v>
          </cell>
          <cell r="I60">
            <v>0</v>
          </cell>
          <cell r="J60">
            <v>4666021.4864692846</v>
          </cell>
          <cell r="K60">
            <v>228652.63106907433</v>
          </cell>
          <cell r="L60">
            <v>-133285.43893000024</v>
          </cell>
          <cell r="M60">
            <v>-109113.63781499999</v>
          </cell>
          <cell r="N60">
            <v>430552.09970500006</v>
          </cell>
          <cell r="O60">
            <v>587533.44999999995</v>
          </cell>
          <cell r="P60">
            <v>0</v>
          </cell>
          <cell r="Q60">
            <v>1049.7698600000012</v>
          </cell>
          <cell r="R60">
            <v>2628118.4418892143</v>
          </cell>
          <cell r="S60">
            <v>226560.13964222113</v>
          </cell>
          <cell r="T60">
            <v>66082736.218270086</v>
          </cell>
          <cell r="U60">
            <v>2771703.0056623444</v>
          </cell>
          <cell r="V60">
            <v>1699642.2595469637</v>
          </cell>
          <cell r="W60">
            <v>7503084.038156745</v>
          </cell>
          <cell r="X60">
            <v>11789120.118549772</v>
          </cell>
          <cell r="Y60">
            <v>12386092.736769881</v>
          </cell>
          <cell r="Z60">
            <v>1089788.8183451965</v>
          </cell>
          <cell r="AA60">
            <v>77180.523663207015</v>
          </cell>
          <cell r="AB60">
            <v>28562270.925826721</v>
          </cell>
          <cell r="AC60">
            <v>2434.0435000000025</v>
          </cell>
          <cell r="AD60">
            <v>349860.20219408901</v>
          </cell>
          <cell r="AE60">
            <v>0</v>
          </cell>
          <cell r="AF60">
            <v>0</v>
          </cell>
          <cell r="AG60">
            <v>-208475.37929167191</v>
          </cell>
          <cell r="AH60">
            <v>0</v>
          </cell>
          <cell r="AI60">
            <v>8704680.6705868877</v>
          </cell>
          <cell r="AJ60">
            <v>88855.100949999978</v>
          </cell>
          <cell r="AK60">
            <v>29.533867999999959</v>
          </cell>
          <cell r="AL60">
            <v>-82077.47917432079</v>
          </cell>
          <cell r="AM60">
            <v>0</v>
          </cell>
          <cell r="AN60">
            <v>3210.7643385999863</v>
          </cell>
          <cell r="AO60">
            <v>151551.47699999987</v>
          </cell>
          <cell r="AP60">
            <v>-3000.7845000000025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231920.67391499996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201259754.83965355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F61">
            <v>-519.45585562481563</v>
          </cell>
          <cell r="G61">
            <v>0</v>
          </cell>
          <cell r="H61">
            <v>0</v>
          </cell>
          <cell r="I61">
            <v>0</v>
          </cell>
          <cell r="J61">
            <v>859492.41287356021</v>
          </cell>
          <cell r="K61">
            <v>44776.482615600915</v>
          </cell>
          <cell r="L61">
            <v>445660.75979999994</v>
          </cell>
          <cell r="M61">
            <v>-30832.739099999992</v>
          </cell>
          <cell r="N61">
            <v>121663.07370000004</v>
          </cell>
          <cell r="O61">
            <v>0</v>
          </cell>
          <cell r="P61">
            <v>0</v>
          </cell>
          <cell r="Q61">
            <v>0</v>
          </cell>
          <cell r="R61">
            <v>515880.55563329137</v>
          </cell>
          <cell r="S61">
            <v>8780.1880781227537</v>
          </cell>
          <cell r="T61">
            <v>7835673.8754862538</v>
          </cell>
          <cell r="U61">
            <v>227046.05888031475</v>
          </cell>
          <cell r="V61">
            <v>0</v>
          </cell>
          <cell r="W61">
            <v>1209191.5053107976</v>
          </cell>
          <cell r="X61">
            <v>985361.86853527254</v>
          </cell>
          <cell r="Y61">
            <v>1631458.5980000945</v>
          </cell>
          <cell r="Z61">
            <v>58994.797872766561</v>
          </cell>
          <cell r="AA61">
            <v>2980.5175372000917</v>
          </cell>
          <cell r="AB61">
            <v>5480075.6043479489</v>
          </cell>
          <cell r="AC61">
            <v>0</v>
          </cell>
          <cell r="AD61">
            <v>73988.03932991164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1998735.7750246564</v>
          </cell>
          <cell r="AJ61">
            <v>17069.283000000003</v>
          </cell>
          <cell r="AK61">
            <v>-84.382480000000001</v>
          </cell>
          <cell r="AL61">
            <v>-38647.413557040585</v>
          </cell>
          <cell r="AM61">
            <v>0</v>
          </cell>
          <cell r="AN61">
            <v>-9173.6123960000023</v>
          </cell>
          <cell r="AO61">
            <v>-433004.22</v>
          </cell>
          <cell r="AP61">
            <v>8573.67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39204.503100000009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21052345.745737128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F62">
            <v>454746</v>
          </cell>
          <cell r="G62">
            <v>55140671</v>
          </cell>
          <cell r="H62">
            <v>774776</v>
          </cell>
          <cell r="I62">
            <v>0</v>
          </cell>
          <cell r="J62">
            <v>3500641</v>
          </cell>
          <cell r="K62">
            <v>2428131</v>
          </cell>
          <cell r="L62">
            <v>-1710429</v>
          </cell>
          <cell r="M62">
            <v>-420040</v>
          </cell>
          <cell r="N62">
            <v>649224</v>
          </cell>
          <cell r="O62">
            <v>184980</v>
          </cell>
          <cell r="P62">
            <v>12104</v>
          </cell>
          <cell r="Q62">
            <v>-8399</v>
          </cell>
          <cell r="R62">
            <v>9769227</v>
          </cell>
          <cell r="S62">
            <v>219600</v>
          </cell>
          <cell r="T62">
            <v>78932987</v>
          </cell>
          <cell r="U62">
            <v>3612140</v>
          </cell>
          <cell r="V62">
            <v>2533199</v>
          </cell>
          <cell r="W62">
            <v>6387325</v>
          </cell>
          <cell r="X62">
            <v>16795529</v>
          </cell>
          <cell r="Y62">
            <v>21512552</v>
          </cell>
          <cell r="Z62">
            <v>3275042</v>
          </cell>
          <cell r="AA62">
            <v>125475</v>
          </cell>
          <cell r="AB62">
            <v>31922856</v>
          </cell>
          <cell r="AC62">
            <v>33802</v>
          </cell>
          <cell r="AD62">
            <v>1642931</v>
          </cell>
          <cell r="AE62">
            <v>0</v>
          </cell>
          <cell r="AF62">
            <v>0</v>
          </cell>
          <cell r="AG62">
            <v>-34939405</v>
          </cell>
          <cell r="AH62">
            <v>0</v>
          </cell>
          <cell r="AI62">
            <v>16683861</v>
          </cell>
          <cell r="AJ62">
            <v>-51729</v>
          </cell>
          <cell r="AK62">
            <v>424</v>
          </cell>
          <cell r="AL62">
            <v>777711</v>
          </cell>
          <cell r="AM62">
            <v>0</v>
          </cell>
          <cell r="AN62">
            <v>46079</v>
          </cell>
          <cell r="AO62">
            <v>1683905</v>
          </cell>
          <cell r="AP62">
            <v>-33342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4060369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225996943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F63">
            <v>0.90289006782407044</v>
          </cell>
          <cell r="G63">
            <v>0.35220530598437694</v>
          </cell>
          <cell r="H63">
            <v>0.41343237946029077</v>
          </cell>
          <cell r="I63">
            <v>0</v>
          </cell>
          <cell r="J63">
            <v>0.4284996811322071</v>
          </cell>
          <cell r="K63">
            <v>0.40616647209755097</v>
          </cell>
          <cell r="L63">
            <v>0.34923527469653248</v>
          </cell>
          <cell r="M63">
            <v>0.40842123277015463</v>
          </cell>
          <cell r="N63">
            <v>0.40899555362922885</v>
          </cell>
          <cell r="O63">
            <v>0.35097439127819718</v>
          </cell>
          <cell r="P63">
            <v>0.40849110728628801</v>
          </cell>
          <cell r="Q63">
            <v>0.33309537973428516</v>
          </cell>
          <cell r="R63">
            <v>0.40256542236636789</v>
          </cell>
          <cell r="S63">
            <v>0.3879385728594924</v>
          </cell>
          <cell r="T63">
            <v>0.41318245239856843</v>
          </cell>
          <cell r="U63">
            <v>0.44155901943468945</v>
          </cell>
          <cell r="V63">
            <v>0.3652410408710538</v>
          </cell>
          <cell r="W63">
            <v>0.40530692172142929</v>
          </cell>
          <cell r="X63">
            <v>0.39382815334507615</v>
          </cell>
          <cell r="Y63">
            <v>0.40044788999327957</v>
          </cell>
          <cell r="Z63">
            <v>0.44829101337929617</v>
          </cell>
          <cell r="AA63">
            <v>0.38996941781971434</v>
          </cell>
          <cell r="AB63">
            <v>0.39325437889364923</v>
          </cell>
          <cell r="AC63">
            <v>0.247084</v>
          </cell>
          <cell r="AD63">
            <v>0.39549996978859964</v>
          </cell>
          <cell r="AE63">
            <v>0</v>
          </cell>
          <cell r="AF63">
            <v>0</v>
          </cell>
          <cell r="AG63">
            <v>0.34950385362569358</v>
          </cell>
          <cell r="AH63">
            <v>0</v>
          </cell>
          <cell r="AI63">
            <v>0.41005253995550928</v>
          </cell>
          <cell r="AJ63">
            <v>0.38383740947405914</v>
          </cell>
          <cell r="AK63">
            <v>0.3501238645747316</v>
          </cell>
          <cell r="AL63">
            <v>0.39367666123177492</v>
          </cell>
          <cell r="AM63">
            <v>0</v>
          </cell>
          <cell r="AN63">
            <v>0.35289297338694237</v>
          </cell>
          <cell r="AO63">
            <v>0.34999993764494952</v>
          </cell>
          <cell r="AP63">
            <v>0.3499994751372516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0.35092967602195307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0.39846184629578785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</row>
        <row r="64">
          <cell r="F64" t="str">
            <v>N/A</v>
          </cell>
          <cell r="G64" t="str">
            <v>X</v>
          </cell>
          <cell r="H64">
            <v>-38101</v>
          </cell>
          <cell r="J64" t="str">
            <v>X</v>
          </cell>
          <cell r="K64" t="str">
            <v>JDE</v>
          </cell>
          <cell r="L64" t="str">
            <v>X</v>
          </cell>
          <cell r="M64" t="str">
            <v>JDE</v>
          </cell>
          <cell r="N64" t="str">
            <v>JDE</v>
          </cell>
          <cell r="O64" t="str">
            <v>JDE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T64" t="str">
            <v>X</v>
          </cell>
          <cell r="U64" t="str">
            <v>X</v>
          </cell>
          <cell r="V64" t="str">
            <v>X</v>
          </cell>
          <cell r="W64">
            <v>-1185290</v>
          </cell>
          <cell r="X64">
            <v>7299</v>
          </cell>
          <cell r="Y64">
            <v>-107773</v>
          </cell>
          <cell r="Z64" t="str">
            <v>X</v>
          </cell>
          <cell r="AA64" t="str">
            <v>X</v>
          </cell>
          <cell r="AB64" t="str">
            <v>X</v>
          </cell>
          <cell r="AC64" t="str">
            <v>disc ops</v>
          </cell>
          <cell r="AD64" t="str">
            <v>X</v>
          </cell>
          <cell r="AG64" t="str">
            <v>X</v>
          </cell>
          <cell r="AI64" t="str">
            <v>X</v>
          </cell>
          <cell r="AJ64" t="str">
            <v>disc ops</v>
          </cell>
          <cell r="AK64" t="str">
            <v>disc ops</v>
          </cell>
          <cell r="AL64" t="str">
            <v>X</v>
          </cell>
          <cell r="AN64" t="str">
            <v>X</v>
          </cell>
          <cell r="AO64" t="str">
            <v>X</v>
          </cell>
          <cell r="AP64" t="str">
            <v>X</v>
          </cell>
        </row>
        <row r="65">
          <cell r="F65">
            <v>2767432.7940063444</v>
          </cell>
          <cell r="G65">
            <v>48939026.705664262</v>
          </cell>
          <cell r="H65">
            <v>-173920.5259400002</v>
          </cell>
          <cell r="I65">
            <v>0</v>
          </cell>
          <cell r="J65">
            <v>5525513.8993428452</v>
          </cell>
          <cell r="K65">
            <v>273429.11368467525</v>
          </cell>
          <cell r="L65">
            <v>312375.3208699997</v>
          </cell>
          <cell r="M65">
            <v>-139946.37691499997</v>
          </cell>
          <cell r="N65">
            <v>552215.17340500013</v>
          </cell>
          <cell r="O65">
            <v>587533.44999999995</v>
          </cell>
          <cell r="P65">
            <v>0</v>
          </cell>
          <cell r="Q65">
            <v>1049.7698600000012</v>
          </cell>
          <cell r="R65">
            <v>3143998.9975225059</v>
          </cell>
          <cell r="S65">
            <v>235340.32772034389</v>
          </cell>
          <cell r="T65">
            <v>73918410.093756333</v>
          </cell>
          <cell r="U65">
            <v>2998749.0645426591</v>
          </cell>
          <cell r="V65">
            <v>1699642.2595469637</v>
          </cell>
          <cell r="W65">
            <v>8712275.5434675422</v>
          </cell>
          <cell r="X65">
            <v>12774481.987085044</v>
          </cell>
          <cell r="Y65">
            <v>14017551.334769975</v>
          </cell>
          <cell r="Z65">
            <v>1148783.6162179632</v>
          </cell>
          <cell r="AA65">
            <v>80161.041200407111</v>
          </cell>
          <cell r="AB65">
            <v>34042346.530174673</v>
          </cell>
          <cell r="AC65">
            <v>2434.0435000000025</v>
          </cell>
          <cell r="AD65">
            <v>423848.24152400065</v>
          </cell>
          <cell r="AE65">
            <v>0</v>
          </cell>
          <cell r="AF65">
            <v>0</v>
          </cell>
          <cell r="AG65">
            <v>-208475.37929167191</v>
          </cell>
          <cell r="AH65">
            <v>0</v>
          </cell>
          <cell r="AI65">
            <v>10703416.445611544</v>
          </cell>
          <cell r="AJ65">
            <v>105924.38394999999</v>
          </cell>
          <cell r="AK65">
            <v>-54.848612000000045</v>
          </cell>
          <cell r="AL65">
            <v>-120724.89273136138</v>
          </cell>
          <cell r="AM65">
            <v>0</v>
          </cell>
          <cell r="AN65">
            <v>-5962.8480574000159</v>
          </cell>
          <cell r="AO65">
            <v>-281452.74300000013</v>
          </cell>
          <cell r="AP65">
            <v>5572.8854999999976</v>
          </cell>
          <cell r="AQ65">
            <v>0</v>
          </cell>
          <cell r="AR65">
            <v>0</v>
          </cell>
        </row>
        <row r="67">
          <cell r="F67">
            <v>-6.5369931689929217E-11</v>
          </cell>
          <cell r="G67">
            <v>-7.4505805969238281E-9</v>
          </cell>
          <cell r="H67">
            <v>-5.8207660913467407E-11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4.3655745685100555E-11</v>
          </cell>
          <cell r="N67">
            <v>-1.4551915228366852E-10</v>
          </cell>
          <cell r="O67">
            <v>0</v>
          </cell>
          <cell r="P67">
            <v>9.0949470177292824E-13</v>
          </cell>
          <cell r="Q67">
            <v>9.0949470177292824E-13</v>
          </cell>
          <cell r="R67">
            <v>0</v>
          </cell>
          <cell r="S67">
            <v>0</v>
          </cell>
          <cell r="T67">
            <v>-8.3819031715393066E-9</v>
          </cell>
          <cell r="U67">
            <v>0</v>
          </cell>
          <cell r="V67">
            <v>0</v>
          </cell>
          <cell r="W67">
            <v>0</v>
          </cell>
          <cell r="X67">
            <v>1.6298145055770874E-9</v>
          </cell>
          <cell r="Y67">
            <v>0</v>
          </cell>
          <cell r="Z67">
            <v>1.7462298274040222E-10</v>
          </cell>
          <cell r="AA67">
            <v>-1.8644641386345029E-11</v>
          </cell>
          <cell r="AB67">
            <v>0</v>
          </cell>
          <cell r="AC67">
            <v>-9.0949470177292824E-13</v>
          </cell>
          <cell r="AD67">
            <v>0</v>
          </cell>
          <cell r="AE67">
            <v>0</v>
          </cell>
          <cell r="AF67">
            <v>0</v>
          </cell>
          <cell r="AG67">
            <v>-3.3760443329811096E-9</v>
          </cell>
          <cell r="AH67">
            <v>0</v>
          </cell>
          <cell r="AI67">
            <v>0</v>
          </cell>
          <cell r="AJ67">
            <v>0</v>
          </cell>
          <cell r="AK67">
            <v>1.5489831639570184E-12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</row>
        <row r="68">
          <cell r="F68">
            <v>0.35085862508276477</v>
          </cell>
          <cell r="G68">
            <v>4.9249999225139618E-2</v>
          </cell>
          <cell r="H68">
            <v>-0.18673581758048385</v>
          </cell>
          <cell r="I68">
            <v>0</v>
          </cell>
          <cell r="J68">
            <v>-0.33361494960263371</v>
          </cell>
          <cell r="K68">
            <v>-6.0195000376552343E-2</v>
          </cell>
          <cell r="L68">
            <v>-0.34999999986030161</v>
          </cell>
          <cell r="M68">
            <v>7.9250000009778887E-2</v>
          </cell>
          <cell r="N68">
            <v>-5.6250000023283064E-2</v>
          </cell>
          <cell r="O68">
            <v>-0.10000000000582077</v>
          </cell>
          <cell r="P68">
            <v>0.26349999999911233</v>
          </cell>
          <cell r="Q68">
            <v>-0.25</v>
          </cell>
          <cell r="R68">
            <v>-0.31612000055611134</v>
          </cell>
          <cell r="S68">
            <v>-0.21850374998757616</v>
          </cell>
          <cell r="T68">
            <v>-0.22095634043216705</v>
          </cell>
          <cell r="U68">
            <v>0.12323749950155616</v>
          </cell>
          <cell r="V68">
            <v>0.47549999970942736</v>
          </cell>
          <cell r="W68">
            <v>0.3821729077026248</v>
          </cell>
          <cell r="X68">
            <v>0.21950249746441841</v>
          </cell>
          <cell r="Y68">
            <v>0.26139748468995094</v>
          </cell>
          <cell r="Z68">
            <v>0.32365999976173043</v>
          </cell>
          <cell r="AA68">
            <v>8.9229999983217567E-2</v>
          </cell>
          <cell r="AB68">
            <v>0.3671875</v>
          </cell>
          <cell r="AC68">
            <v>-0.40000000000145519</v>
          </cell>
          <cell r="AD68">
            <v>0.12549999984912574</v>
          </cell>
          <cell r="AE68">
            <v>0</v>
          </cell>
          <cell r="AF68">
            <v>0</v>
          </cell>
          <cell r="AG68">
            <v>0.25675000250339508</v>
          </cell>
          <cell r="AH68">
            <v>0</v>
          </cell>
          <cell r="AI68">
            <v>2.8787599876523018E-2</v>
          </cell>
          <cell r="AJ68">
            <v>-0.33114999999816064</v>
          </cell>
          <cell r="AK68">
            <v>-0.15000000000003411</v>
          </cell>
          <cell r="AL68">
            <v>9.3720000004395843E-3</v>
          </cell>
          <cell r="AM68">
            <v>0</v>
          </cell>
          <cell r="AN68">
            <v>-0.29250000000320142</v>
          </cell>
          <cell r="AO68">
            <v>0.29999999981373549</v>
          </cell>
          <cell r="AP68">
            <v>-4.9999999995634425E-2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0.24281794531270862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0.63194817304611206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</row>
        <row r="69">
          <cell r="F69">
            <v>6.9662353885391326E-7</v>
          </cell>
          <cell r="G69">
            <v>3.1457925153688393E-10</v>
          </cell>
          <cell r="H69">
            <v>-9.9645101836465244E-8</v>
          </cell>
          <cell r="I69">
            <v>0</v>
          </cell>
          <cell r="J69">
            <v>-4.0836492354312526E-8</v>
          </cell>
          <cell r="K69">
            <v>-1.0069139966262242E-8</v>
          </cell>
          <cell r="L69">
            <v>7.1462975703706633E-8</v>
          </cell>
          <cell r="M69">
            <v>-7.7057858038909188E-8</v>
          </cell>
          <cell r="N69">
            <v>-3.5436151291090567E-8</v>
          </cell>
          <cell r="O69">
            <v>-1.8973639920316643E-7</v>
          </cell>
          <cell r="P69">
            <v>8.8927137119609867E-6</v>
          </cell>
          <cell r="Q69">
            <v>9.9147332936477817E-6</v>
          </cell>
          <cell r="R69">
            <v>-1.302651492229856E-8</v>
          </cell>
          <cell r="S69">
            <v>-3.8600197149740723E-7</v>
          </cell>
          <cell r="T69">
            <v>-1.1566176350008561E-9</v>
          </cell>
          <cell r="U69">
            <v>1.5064928138297518E-8</v>
          </cell>
          <cell r="V69">
            <v>6.8558417554154261E-8</v>
          </cell>
          <cell r="W69">
            <v>2.4250734809161401E-8</v>
          </cell>
          <cell r="X69">
            <v>5.1469806749970815E-9</v>
          </cell>
          <cell r="Y69">
            <v>4.8658137519197453E-9</v>
          </cell>
          <cell r="Z69">
            <v>4.4302903345894151E-8</v>
          </cell>
          <cell r="AA69">
            <v>2.7732194574081603E-7</v>
          </cell>
          <cell r="AB69">
            <v>4.5233450318704627E-9</v>
          </cell>
          <cell r="AC69">
            <v>0.10291599999999998</v>
          </cell>
          <cell r="AD69">
            <v>3.0211400325885762E-8</v>
          </cell>
          <cell r="AE69">
            <v>0</v>
          </cell>
          <cell r="AF69">
            <v>0</v>
          </cell>
          <cell r="AG69">
            <v>-2.5683069004855952E-9</v>
          </cell>
          <cell r="AH69">
            <v>0</v>
          </cell>
          <cell r="AI69">
            <v>7.0753575220905418E-10</v>
          </cell>
          <cell r="AJ69">
            <v>2.4571856820365667E-6</v>
          </cell>
          <cell r="AK69">
            <v>-1.2386457473162471E-4</v>
          </cell>
          <cell r="AL69">
            <v>4.7440986139513086E-9</v>
          </cell>
          <cell r="AM69">
            <v>0</v>
          </cell>
          <cell r="AN69">
            <v>-2.2400919012510734E-6</v>
          </cell>
          <cell r="AO69">
            <v>6.2355050456375238E-8</v>
          </cell>
          <cell r="AP69">
            <v>5.2486274837448832E-7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2.098627560620514E-8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1.1142063383040579E-9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</row>
        <row r="73">
          <cell r="F73">
            <v>0</v>
          </cell>
          <cell r="G73">
            <v>708036</v>
          </cell>
          <cell r="H73">
            <v>0</v>
          </cell>
          <cell r="I73">
            <v>0</v>
          </cell>
          <cell r="J73">
            <v>280134.84000000003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697.44</v>
          </cell>
          <cell r="R73">
            <v>284736.24</v>
          </cell>
          <cell r="S73">
            <v>2472.84</v>
          </cell>
          <cell r="T73">
            <v>1238297.1599999999</v>
          </cell>
          <cell r="U73">
            <v>556251.12</v>
          </cell>
          <cell r="V73">
            <v>183192</v>
          </cell>
          <cell r="W73">
            <v>514174.92</v>
          </cell>
          <cell r="X73">
            <v>-105535.92</v>
          </cell>
          <cell r="Y73">
            <v>-5722.44</v>
          </cell>
          <cell r="Z73">
            <v>230206.2</v>
          </cell>
          <cell r="AA73">
            <v>0</v>
          </cell>
          <cell r="AB73">
            <v>103203.08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-88167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3901976.4800000004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</row>
        <row r="74">
          <cell r="F74">
            <v>0</v>
          </cell>
          <cell r="G74">
            <v>-356136.24</v>
          </cell>
          <cell r="H74">
            <v>0</v>
          </cell>
          <cell r="I74">
            <v>0</v>
          </cell>
          <cell r="J74">
            <v>-15000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-29.76</v>
          </cell>
          <cell r="R74">
            <v>-84797.040000000008</v>
          </cell>
          <cell r="S74">
            <v>-1620</v>
          </cell>
          <cell r="T74">
            <v>-233592</v>
          </cell>
          <cell r="U74">
            <v>-76368</v>
          </cell>
          <cell r="V74">
            <v>-33804</v>
          </cell>
          <cell r="W74">
            <v>-64047.839999999997</v>
          </cell>
          <cell r="X74">
            <v>-83937.12</v>
          </cell>
          <cell r="Y74">
            <v>-218748</v>
          </cell>
          <cell r="Z74">
            <v>-37198.35</v>
          </cell>
          <cell r="AA74">
            <v>0</v>
          </cell>
          <cell r="AB74">
            <v>-130410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-81788.25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-1417476.6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26459.16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15861.81</v>
          </cell>
          <cell r="S75">
            <v>-17527.8</v>
          </cell>
          <cell r="T75">
            <v>-2577688.2000000002</v>
          </cell>
          <cell r="U75">
            <v>74169.84</v>
          </cell>
          <cell r="V75">
            <v>0</v>
          </cell>
          <cell r="W75">
            <v>-307573.8</v>
          </cell>
          <cell r="X75">
            <v>28587.35</v>
          </cell>
          <cell r="Y75">
            <v>64449.48</v>
          </cell>
          <cell r="Z75">
            <v>39620.879999999997</v>
          </cell>
          <cell r="AA75">
            <v>0</v>
          </cell>
          <cell r="AB75">
            <v>27356.92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-18218.04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-2644502.4000000004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-100715.04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-100715.04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</row>
      </sheetData>
      <sheetData sheetId="14"/>
      <sheetData sheetId="15"/>
      <sheetData sheetId="16"/>
      <sheetData sheetId="17">
        <row r="7">
          <cell r="F7">
            <v>1033</v>
          </cell>
          <cell r="G7">
            <v>1018</v>
          </cell>
          <cell r="H7">
            <v>1021</v>
          </cell>
          <cell r="I7">
            <v>1021.1</v>
          </cell>
          <cell r="J7">
            <v>1038</v>
          </cell>
          <cell r="K7">
            <v>39</v>
          </cell>
          <cell r="L7">
            <v>1051</v>
          </cell>
          <cell r="M7">
            <v>54</v>
          </cell>
          <cell r="N7">
            <v>55</v>
          </cell>
          <cell r="O7">
            <v>56</v>
          </cell>
          <cell r="P7">
            <v>1057</v>
          </cell>
          <cell r="Q7">
            <v>1014</v>
          </cell>
          <cell r="R7">
            <v>1012</v>
          </cell>
          <cell r="S7">
            <v>1013</v>
          </cell>
          <cell r="T7">
            <v>1024</v>
          </cell>
          <cell r="U7">
            <v>1026</v>
          </cell>
          <cell r="V7">
            <v>1027</v>
          </cell>
          <cell r="W7">
            <v>1028</v>
          </cell>
          <cell r="X7">
            <v>85</v>
          </cell>
          <cell r="Y7">
            <v>87</v>
          </cell>
          <cell r="Z7">
            <v>1025</v>
          </cell>
          <cell r="AA7">
            <v>1010</v>
          </cell>
          <cell r="AB7">
            <v>1011</v>
          </cell>
          <cell r="AC7">
            <v>1016</v>
          </cell>
          <cell r="AD7">
            <v>1017</v>
          </cell>
          <cell r="AE7">
            <v>22</v>
          </cell>
          <cell r="AF7">
            <v>1044</v>
          </cell>
          <cell r="AG7">
            <v>50</v>
          </cell>
          <cell r="AI7">
            <v>1020</v>
          </cell>
          <cell r="AJ7">
            <v>47</v>
          </cell>
          <cell r="AK7">
            <v>1015</v>
          </cell>
          <cell r="AL7">
            <v>19</v>
          </cell>
          <cell r="AM7">
            <v>23</v>
          </cell>
          <cell r="AN7">
            <v>1030</v>
          </cell>
          <cell r="AO7">
            <v>1046</v>
          </cell>
          <cell r="AP7">
            <v>1080</v>
          </cell>
          <cell r="AQ7">
            <v>1090</v>
          </cell>
          <cell r="AR7">
            <v>1091</v>
          </cell>
          <cell r="AS7">
            <v>60</v>
          </cell>
          <cell r="AT7">
            <v>65</v>
          </cell>
          <cell r="AU7">
            <v>61</v>
          </cell>
          <cell r="AV7">
            <v>99023</v>
          </cell>
          <cell r="AW7">
            <v>99021</v>
          </cell>
          <cell r="AX7">
            <v>64</v>
          </cell>
          <cell r="AY7">
            <v>58</v>
          </cell>
          <cell r="AZ7">
            <v>31</v>
          </cell>
          <cell r="BA7" t="str">
            <v>AWE007</v>
          </cell>
          <cell r="BB7">
            <v>999</v>
          </cell>
          <cell r="BC7">
            <v>995</v>
          </cell>
          <cell r="BD7" t="str">
            <v>Present</v>
          </cell>
          <cell r="BE7">
            <v>1000</v>
          </cell>
          <cell r="BF7">
            <v>98723</v>
          </cell>
          <cell r="BP7" t="str">
            <v>Consol. TR</v>
          </cell>
          <cell r="BQ7" t="str">
            <v>Disc Ops</v>
          </cell>
          <cell r="BZ7" t="str">
            <v>TWAUSHI Adj - 1</v>
          </cell>
          <cell r="CA7" t="str">
            <v>Present</v>
          </cell>
          <cell r="CE7" t="str">
            <v>TWAUSHI CONS</v>
          </cell>
        </row>
        <row r="8">
          <cell r="F8" t="str">
            <v>AWWS</v>
          </cell>
          <cell r="G8" t="str">
            <v>NJ</v>
          </cell>
          <cell r="H8" t="str">
            <v>AWR - LEASING</v>
          </cell>
          <cell r="I8" t="str">
            <v>AWR-SLP</v>
          </cell>
          <cell r="J8" t="str">
            <v>LI</v>
          </cell>
          <cell r="K8" t="str">
            <v>NY American</v>
          </cell>
          <cell r="L8" t="str">
            <v>E'town LLC (fka E-TOWN CORP)</v>
          </cell>
          <cell r="M8" t="str">
            <v>EDISON</v>
          </cell>
          <cell r="N8" t="str">
            <v>LIBERTY</v>
          </cell>
          <cell r="O8" t="str">
            <v>E'town Services LLC</v>
          </cell>
          <cell r="P8" t="str">
            <v>E-TOWN PROPERTIES</v>
          </cell>
          <cell r="Q8" t="str">
            <v>BFV</v>
          </cell>
          <cell r="R8" t="str">
            <v>KY</v>
          </cell>
          <cell r="S8" t="str">
            <v>MD</v>
          </cell>
          <cell r="T8" t="str">
            <v>PA</v>
          </cell>
          <cell r="U8" t="str">
            <v>TN</v>
          </cell>
          <cell r="V8" t="str">
            <v>VA</v>
          </cell>
          <cell r="W8" t="str">
            <v>WV</v>
          </cell>
          <cell r="X8" t="str">
            <v>ACUS (Ashbrook)</v>
          </cell>
          <cell r="Y8" t="str">
            <v>HYDRO</v>
          </cell>
          <cell r="Z8" t="str">
            <v>IL</v>
          </cell>
          <cell r="AA8" t="str">
            <v>IN</v>
          </cell>
          <cell r="AB8" t="str">
            <v>IA</v>
          </cell>
          <cell r="AC8" t="str">
            <v>MI</v>
          </cell>
          <cell r="AD8" t="str">
            <v>MO</v>
          </cell>
          <cell r="AE8" t="str">
            <v>OH</v>
          </cell>
          <cell r="AF8" t="str">
            <v>LAKE WATER</v>
          </cell>
          <cell r="AG8" t="str">
            <v>TX</v>
          </cell>
          <cell r="AH8" t="str">
            <v>AWWC CA/MO/IL Offset</v>
          </cell>
          <cell r="AI8" t="str">
            <v>AWW</v>
          </cell>
          <cell r="AJ8" t="str">
            <v>AWS, LLC</v>
          </cell>
          <cell r="AK8" t="str">
            <v>CA</v>
          </cell>
          <cell r="AL8" t="str">
            <v>NM</v>
          </cell>
          <cell r="AM8" t="str">
            <v>AZ</v>
          </cell>
          <cell r="AN8" t="str">
            <v>HI</v>
          </cell>
          <cell r="AO8" t="str">
            <v>AWCC</v>
          </cell>
          <cell r="AP8" t="str">
            <v>LOP</v>
          </cell>
          <cell r="AQ8" t="str">
            <v>TWHLLC (fka TWHINC)</v>
          </cell>
          <cell r="AR8" t="str">
            <v>TWNA</v>
          </cell>
          <cell r="AS8" t="str">
            <v>PWT Waste Solutions</v>
          </cell>
          <cell r="AT8" t="str">
            <v>UESG Holdings, Inc.</v>
          </cell>
          <cell r="AU8" t="str">
            <v>AWM</v>
          </cell>
          <cell r="AV8" t="str">
            <v>AWM OF DE</v>
          </cell>
          <cell r="AW8" t="str">
            <v>APP WASTE</v>
          </cell>
          <cell r="AX8" t="str">
            <v>AWWM</v>
          </cell>
          <cell r="AY8" t="str">
            <v>Eliz Water Services LLC</v>
          </cell>
          <cell r="AZ8" t="str">
            <v>AWE US - Less EMC</v>
          </cell>
          <cell r="BA8" t="str">
            <v xml:space="preserve"> EMC</v>
          </cell>
          <cell r="BB8" t="str">
            <v>AWE Canada</v>
          </cell>
          <cell r="BC8" t="str">
            <v>TW Puerto Rico</v>
          </cell>
          <cell r="BD8" t="str">
            <v>Presentation Adjustments</v>
          </cell>
          <cell r="BE8" t="str">
            <v>Discontinued Operations</v>
          </cell>
          <cell r="BF8" t="str">
            <v>AWW Consolidating Adjustments Co</v>
          </cell>
          <cell r="BI8" t="str">
            <v>Merged Entity #02 AWW</v>
          </cell>
          <cell r="BJ8" t="str">
            <v>Merged Entity #18 New Jersey</v>
          </cell>
          <cell r="BK8" t="str">
            <v>Merged Entity #21 AWR</v>
          </cell>
          <cell r="BL8" t="str">
            <v>Merged Entity #998 AWE US</v>
          </cell>
          <cell r="BM8" t="str">
            <v>Remaining Entities (Not Merged)</v>
          </cell>
          <cell r="BN8" t="str">
            <v>SUBTOTAL - US</v>
          </cell>
          <cell r="BO8" t="str">
            <v>SUBTOTAL - CANADA</v>
          </cell>
          <cell r="BP8" t="str">
            <v>TWAUSHI CONSOL (Ledger)</v>
          </cell>
          <cell r="BQ8" t="str">
            <v>Total Discontinued Operations</v>
          </cell>
          <cell r="BR8" t="str">
            <v>Total Continuing Operations</v>
          </cell>
          <cell r="BU8" t="str">
            <v>Current Tax Calculation Computations</v>
          </cell>
          <cell r="BZ8" t="str">
            <v>TWAUSHI Consolidating Adjustments Co</v>
          </cell>
          <cell r="CA8" t="str">
            <v>Consol Presentation Adjustments</v>
          </cell>
          <cell r="CC8" t="str">
            <v>Topsides Cos' Subtotal</v>
          </cell>
          <cell r="CE8" t="str">
            <v>TWAUSHI CONSOL (Report)</v>
          </cell>
        </row>
        <row r="9">
          <cell r="F9">
            <v>6</v>
          </cell>
          <cell r="G9">
            <v>7</v>
          </cell>
          <cell r="H9">
            <v>8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AX9">
            <v>50</v>
          </cell>
          <cell r="AY9">
            <v>51</v>
          </cell>
          <cell r="AZ9">
            <v>52</v>
          </cell>
          <cell r="BA9">
            <v>53</v>
          </cell>
          <cell r="BB9">
            <v>54</v>
          </cell>
          <cell r="BC9">
            <v>55</v>
          </cell>
          <cell r="BD9">
            <v>56</v>
          </cell>
          <cell r="BE9">
            <v>57</v>
          </cell>
          <cell r="BF9">
            <v>58</v>
          </cell>
          <cell r="BN9">
            <v>66</v>
          </cell>
          <cell r="BO9">
            <v>67</v>
          </cell>
          <cell r="BP9">
            <v>68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  <cell r="CA9">
            <v>79</v>
          </cell>
          <cell r="CC9">
            <v>81</v>
          </cell>
          <cell r="CE9">
            <v>83</v>
          </cell>
        </row>
        <row r="10">
          <cell r="A10" t="str">
            <v>Pre-Tax Income:</v>
          </cell>
        </row>
        <row r="11">
          <cell r="A11" t="str">
            <v>Pre-tax Income (Loss) - YTD - from Ledger</v>
          </cell>
          <cell r="F11">
            <v>408994.05000000901</v>
          </cell>
          <cell r="G11">
            <v>138663872.27000001</v>
          </cell>
          <cell r="H11">
            <v>3236044.2900000028</v>
          </cell>
          <cell r="I11">
            <v>21158212</v>
          </cell>
          <cell r="J11">
            <v>10284948.050000001</v>
          </cell>
          <cell r="K11">
            <v>6563158.0199999996</v>
          </cell>
          <cell r="L11">
            <v>-3602537.56</v>
          </cell>
          <cell r="M11">
            <v>-751850.71000000299</v>
          </cell>
          <cell r="N11">
            <v>1871224.79</v>
          </cell>
          <cell r="O11">
            <v>290358.82</v>
          </cell>
          <cell r="P11">
            <v>17198.61</v>
          </cell>
          <cell r="Q11">
            <v>-42946.73</v>
          </cell>
          <cell r="R11">
            <v>21162534.530000001</v>
          </cell>
          <cell r="S11">
            <v>587553.03</v>
          </cell>
          <cell r="T11">
            <v>147403200.91999999</v>
          </cell>
          <cell r="U11">
            <v>6299869.8700000001</v>
          </cell>
          <cell r="V11">
            <v>5766228.29</v>
          </cell>
          <cell r="W11">
            <v>13858341</v>
          </cell>
          <cell r="X11">
            <v>0</v>
          </cell>
          <cell r="Y11">
            <v>0</v>
          </cell>
          <cell r="Z11">
            <v>35119739.530000001</v>
          </cell>
          <cell r="AA11">
            <v>45796329.43</v>
          </cell>
          <cell r="AB11">
            <v>6207719.8100000098</v>
          </cell>
          <cell r="AC11">
            <v>245148.53</v>
          </cell>
          <cell r="AD11">
            <v>70509783.150000006</v>
          </cell>
          <cell r="AE11">
            <v>4786649.07</v>
          </cell>
          <cell r="AF11">
            <v>3422453.12</v>
          </cell>
          <cell r="AG11">
            <v>594836.36</v>
          </cell>
          <cell r="AH11">
            <v>0</v>
          </cell>
          <cell r="AI11">
            <v>-75953815.450000003</v>
          </cell>
          <cell r="AJ11">
            <v>0</v>
          </cell>
          <cell r="AK11">
            <v>35118310.920000002</v>
          </cell>
          <cell r="AL11">
            <v>-3145947.26</v>
          </cell>
          <cell r="AM11">
            <v>25355952</v>
          </cell>
          <cell r="AN11">
            <v>1538068.26</v>
          </cell>
          <cell r="AO11">
            <v>-15841.739999958399</v>
          </cell>
          <cell r="AP11">
            <v>106217.68</v>
          </cell>
          <cell r="AQ11">
            <v>3513276.29</v>
          </cell>
          <cell r="AR11">
            <v>-38700.769999999997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5932728.8100000024</v>
          </cell>
          <cell r="BA11">
            <v>1376698</v>
          </cell>
          <cell r="BB11">
            <v>1788912.1059220019</v>
          </cell>
          <cell r="BC11">
            <v>0</v>
          </cell>
          <cell r="BD11">
            <v>0</v>
          </cell>
          <cell r="BE11">
            <v>-36792266.32</v>
          </cell>
          <cell r="BF11">
            <v>29092218.309999999</v>
          </cell>
          <cell r="BI11">
            <v>-76043076.719999999</v>
          </cell>
          <cell r="BJ11">
            <v>138663872.27000001</v>
          </cell>
          <cell r="BK11">
            <v>24394256.290000003</v>
          </cell>
          <cell r="BL11">
            <v>7599785.6300000027</v>
          </cell>
          <cell r="BM11">
            <v>431329123.80000007</v>
          </cell>
          <cell r="BN11">
            <v>525943961.2700001</v>
          </cell>
          <cell r="BO11">
            <v>1788912.1059220019</v>
          </cell>
          <cell r="BP11">
            <v>527732873.37592208</v>
          </cell>
          <cell r="BQ11">
            <v>-9200776.1499999985</v>
          </cell>
          <cell r="BR11">
            <v>536933649.52592206</v>
          </cell>
          <cell r="BS11" t="str">
            <v>Before Topsides</v>
          </cell>
          <cell r="BU11">
            <v>-9200776.1499999762</v>
          </cell>
          <cell r="CC11">
            <v>0</v>
          </cell>
          <cell r="CE11">
            <v>527732873.37592208</v>
          </cell>
        </row>
        <row r="12">
          <cell r="A12" t="str">
            <v>Elimination of Intercompany Dividend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</row>
        <row r="13">
          <cell r="A13" t="str">
            <v>Elimination of Discotinued Operations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</row>
        <row r="14">
          <cell r="A14" t="str">
            <v>Goodwill Impairment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</row>
        <row r="15">
          <cell r="A15" t="str">
            <v>Reclass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</row>
        <row r="16">
          <cell r="A16" t="str">
            <v xml:space="preserve"> OPEN - (Insert Description)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Z16">
            <v>0</v>
          </cell>
          <cell r="CC16">
            <v>0</v>
          </cell>
          <cell r="CE16">
            <v>0</v>
          </cell>
        </row>
        <row r="17">
          <cell r="A17" t="str">
            <v xml:space="preserve"> OPEN - (Insert Description)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C17">
            <v>0</v>
          </cell>
          <cell r="CE17">
            <v>0</v>
          </cell>
        </row>
        <row r="18">
          <cell r="A18" t="str">
            <v xml:space="preserve"> OPEN - (Insert Description)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C18">
            <v>0</v>
          </cell>
          <cell r="CE18">
            <v>0</v>
          </cell>
        </row>
        <row r="20">
          <cell r="A20" t="str">
            <v xml:space="preserve">Final Actual GAAP Pre-Tax </v>
          </cell>
          <cell r="F20">
            <v>408994.05000000901</v>
          </cell>
          <cell r="G20">
            <v>138663872.27000001</v>
          </cell>
          <cell r="H20">
            <v>3236044.2900000028</v>
          </cell>
          <cell r="I20">
            <v>21158212</v>
          </cell>
          <cell r="J20">
            <v>10284948.050000001</v>
          </cell>
          <cell r="K20">
            <v>6563158.0199999996</v>
          </cell>
          <cell r="L20">
            <v>-3602537.56</v>
          </cell>
          <cell r="M20">
            <v>-751850.71000000299</v>
          </cell>
          <cell r="N20">
            <v>1871224.79</v>
          </cell>
          <cell r="O20">
            <v>290358.82</v>
          </cell>
          <cell r="P20">
            <v>17198.61</v>
          </cell>
          <cell r="Q20">
            <v>-42946.73</v>
          </cell>
          <cell r="R20">
            <v>21162534.530000001</v>
          </cell>
          <cell r="S20">
            <v>587553.03</v>
          </cell>
          <cell r="T20">
            <v>147403200.91999999</v>
          </cell>
          <cell r="U20">
            <v>6299869.8700000001</v>
          </cell>
          <cell r="V20">
            <v>5766228.29</v>
          </cell>
          <cell r="W20">
            <v>13858341</v>
          </cell>
          <cell r="X20">
            <v>0</v>
          </cell>
          <cell r="Y20">
            <v>0</v>
          </cell>
          <cell r="Z20">
            <v>35119739.530000001</v>
          </cell>
          <cell r="AA20">
            <v>45796329.43</v>
          </cell>
          <cell r="AB20">
            <v>6207719.8100000098</v>
          </cell>
          <cell r="AC20">
            <v>245148.53</v>
          </cell>
          <cell r="AD20">
            <v>70509783.150000006</v>
          </cell>
          <cell r="AE20">
            <v>4786649.07</v>
          </cell>
          <cell r="AF20">
            <v>3422453.12</v>
          </cell>
          <cell r="AG20">
            <v>594836.36</v>
          </cell>
          <cell r="AH20">
            <v>0</v>
          </cell>
          <cell r="AI20">
            <v>-75953815.450000003</v>
          </cell>
          <cell r="AJ20">
            <v>0</v>
          </cell>
          <cell r="AK20">
            <v>35118310.920000002</v>
          </cell>
          <cell r="AL20">
            <v>-3145947.26</v>
          </cell>
          <cell r="AM20">
            <v>25355952</v>
          </cell>
          <cell r="AN20">
            <v>1538068.26</v>
          </cell>
          <cell r="AO20">
            <v>-15841.739999958399</v>
          </cell>
          <cell r="AP20">
            <v>106217.68</v>
          </cell>
          <cell r="AQ20">
            <v>3513276.29</v>
          </cell>
          <cell r="AR20">
            <v>-38700.769999999997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5932728.8100000024</v>
          </cell>
          <cell r="BA20">
            <v>1376698</v>
          </cell>
          <cell r="BB20">
            <v>1788912.1059220019</v>
          </cell>
          <cell r="BC20">
            <v>0</v>
          </cell>
          <cell r="BD20">
            <v>0</v>
          </cell>
          <cell r="BE20">
            <v>-36792266.32</v>
          </cell>
          <cell r="BF20">
            <v>29092218.309999999</v>
          </cell>
          <cell r="BI20">
            <v>-76043076.719999999</v>
          </cell>
          <cell r="BJ20">
            <v>138663872.27000001</v>
          </cell>
          <cell r="BK20">
            <v>24394256.290000003</v>
          </cell>
          <cell r="BL20">
            <v>7599785.6300000027</v>
          </cell>
          <cell r="BM20">
            <v>431329123.80000007</v>
          </cell>
          <cell r="BN20">
            <v>525943961.2700001</v>
          </cell>
          <cell r="BO20">
            <v>1788912.1059220019</v>
          </cell>
          <cell r="BP20">
            <v>527732873.37592208</v>
          </cell>
          <cell r="BQ20">
            <v>-9200776.1499999985</v>
          </cell>
          <cell r="BR20">
            <v>536933649.52592206</v>
          </cell>
          <cell r="BS20" t="str">
            <v>Ties to support</v>
          </cell>
          <cell r="BZ20">
            <v>0</v>
          </cell>
          <cell r="CA20">
            <v>0</v>
          </cell>
          <cell r="CC20">
            <v>0</v>
          </cell>
          <cell r="CE20">
            <v>527732873.37592208</v>
          </cell>
          <cell r="CF20" t="e">
            <v>#REF!</v>
          </cell>
        </row>
        <row r="21">
          <cell r="CF21" t="e">
            <v>#REF!</v>
          </cell>
        </row>
        <row r="22">
          <cell r="A22" t="str">
            <v>Permanent Differences:</v>
          </cell>
        </row>
        <row r="23">
          <cell r="A23" t="str">
            <v>JE#  P005  Meals and Entertainment</v>
          </cell>
          <cell r="B23" t="str">
            <v>P005</v>
          </cell>
          <cell r="D23" t="str">
            <v>TB</v>
          </cell>
          <cell r="F23">
            <v>649615.92500000005</v>
          </cell>
          <cell r="G23">
            <v>192994.715</v>
          </cell>
          <cell r="H23">
            <v>0</v>
          </cell>
          <cell r="I23">
            <v>30833</v>
          </cell>
          <cell r="J23">
            <v>24270.79</v>
          </cell>
          <cell r="K23">
            <v>720</v>
          </cell>
          <cell r="L23">
            <v>0</v>
          </cell>
          <cell r="M23">
            <v>198.5</v>
          </cell>
          <cell r="N23">
            <v>1925.5</v>
          </cell>
          <cell r="O23">
            <v>1467</v>
          </cell>
          <cell r="P23">
            <v>0</v>
          </cell>
          <cell r="Q23">
            <v>0</v>
          </cell>
          <cell r="R23">
            <v>44588.6</v>
          </cell>
          <cell r="S23">
            <v>2106.21</v>
          </cell>
          <cell r="T23">
            <v>166068.79499999998</v>
          </cell>
          <cell r="U23">
            <v>20270.07</v>
          </cell>
          <cell r="V23">
            <v>20833.2</v>
          </cell>
          <cell r="W23">
            <v>51303.314999999995</v>
          </cell>
          <cell r="X23">
            <v>0</v>
          </cell>
          <cell r="Y23">
            <v>0</v>
          </cell>
          <cell r="Z23">
            <v>112638.575</v>
          </cell>
          <cell r="AA23">
            <v>62753.100000000006</v>
          </cell>
          <cell r="AB23">
            <v>25036.875</v>
          </cell>
          <cell r="AC23">
            <v>464.63</v>
          </cell>
          <cell r="AD23">
            <v>133242.42000000001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27483.055</v>
          </cell>
          <cell r="AJ23">
            <v>0</v>
          </cell>
          <cell r="AK23">
            <v>106930.17</v>
          </cell>
          <cell r="AL23">
            <v>1745</v>
          </cell>
          <cell r="AM23">
            <v>0</v>
          </cell>
          <cell r="AN23">
            <v>8323.17</v>
          </cell>
          <cell r="AO23">
            <v>0</v>
          </cell>
          <cell r="AP23">
            <v>1049.98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99615.5</v>
          </cell>
          <cell r="BA23">
            <v>15984.5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I23">
            <v>27483.055</v>
          </cell>
          <cell r="BJ23">
            <v>192994.715</v>
          </cell>
          <cell r="BK23">
            <v>30833</v>
          </cell>
          <cell r="BL23">
            <v>117067</v>
          </cell>
          <cell r="BM23">
            <v>1434084.8249999997</v>
          </cell>
          <cell r="BN23">
            <v>1802462.5949999997</v>
          </cell>
          <cell r="BO23">
            <v>0</v>
          </cell>
          <cell r="BP23">
            <v>1802462.5949999997</v>
          </cell>
          <cell r="BQ23">
            <v>1745</v>
          </cell>
          <cell r="BR23">
            <v>1800717.5949999997</v>
          </cell>
          <cell r="CC23">
            <v>0</v>
          </cell>
          <cell r="CE23">
            <v>1802462.5949999997</v>
          </cell>
        </row>
        <row r="24">
          <cell r="A24" t="str">
            <v>JE#  P020  Nondeductible Penalties</v>
          </cell>
          <cell r="B24" t="str">
            <v>P020</v>
          </cell>
          <cell r="D24" t="str">
            <v>TB</v>
          </cell>
          <cell r="F24">
            <v>-10620.7</v>
          </cell>
          <cell r="G24">
            <v>2187.1799999999998</v>
          </cell>
          <cell r="H24">
            <v>2.82</v>
          </cell>
          <cell r="I24">
            <v>13711</v>
          </cell>
          <cell r="J24">
            <v>0</v>
          </cell>
          <cell r="K24">
            <v>332</v>
          </cell>
          <cell r="L24">
            <v>10700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5</v>
          </cell>
          <cell r="S24">
            <v>0</v>
          </cell>
          <cell r="T24">
            <v>181129.33</v>
          </cell>
          <cell r="U24">
            <v>2250</v>
          </cell>
          <cell r="V24">
            <v>93.77</v>
          </cell>
          <cell r="W24">
            <v>2100</v>
          </cell>
          <cell r="X24">
            <v>0</v>
          </cell>
          <cell r="Y24">
            <v>0</v>
          </cell>
          <cell r="Z24">
            <v>-5429.02</v>
          </cell>
          <cell r="AA24">
            <v>1004.94</v>
          </cell>
          <cell r="AB24">
            <v>-575.53</v>
          </cell>
          <cell r="AC24">
            <v>0</v>
          </cell>
          <cell r="AD24">
            <v>135886.79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3990.25</v>
          </cell>
          <cell r="AJ24">
            <v>0</v>
          </cell>
          <cell r="AK24">
            <v>-4471</v>
          </cell>
          <cell r="AL24">
            <v>0</v>
          </cell>
          <cell r="AM24">
            <v>0</v>
          </cell>
          <cell r="AN24">
            <v>2153</v>
          </cell>
          <cell r="AO24">
            <v>0</v>
          </cell>
          <cell r="AP24">
            <v>28.47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-8579</v>
          </cell>
          <cell r="BA24">
            <v>1724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I24">
            <v>14690.25</v>
          </cell>
          <cell r="BJ24">
            <v>2187.1799999999998</v>
          </cell>
          <cell r="BK24">
            <v>13713.82</v>
          </cell>
          <cell r="BL24">
            <v>-6855</v>
          </cell>
          <cell r="BM24">
            <v>303887.04999999993</v>
          </cell>
          <cell r="BN24">
            <v>327623.29999999993</v>
          </cell>
          <cell r="BO24">
            <v>0</v>
          </cell>
          <cell r="BP24">
            <v>327623.29999999993</v>
          </cell>
          <cell r="BQ24">
            <v>0</v>
          </cell>
          <cell r="BR24">
            <v>327623.29999999993</v>
          </cell>
          <cell r="CC24">
            <v>0</v>
          </cell>
          <cell r="CE24">
            <v>327623.29999999993</v>
          </cell>
        </row>
        <row r="25">
          <cell r="A25" t="str">
            <v>JE#  P025  Nondeductible Donations</v>
          </cell>
          <cell r="B25" t="str">
            <v>P025</v>
          </cell>
          <cell r="D25" t="str">
            <v>TB</v>
          </cell>
          <cell r="F25">
            <v>12500</v>
          </cell>
          <cell r="G25">
            <v>1000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1000</v>
          </cell>
          <cell r="X25">
            <v>0</v>
          </cell>
          <cell r="Y25">
            <v>0</v>
          </cell>
          <cell r="Z25">
            <v>2700</v>
          </cell>
          <cell r="AA25">
            <v>450</v>
          </cell>
          <cell r="AB25">
            <v>0</v>
          </cell>
          <cell r="AC25">
            <v>0</v>
          </cell>
          <cell r="AD25">
            <v>12026.61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1620</v>
          </cell>
          <cell r="AJ25">
            <v>0</v>
          </cell>
          <cell r="AK25">
            <v>105512.18</v>
          </cell>
          <cell r="AL25">
            <v>608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I25">
            <v>1620</v>
          </cell>
          <cell r="BJ25">
            <v>1000</v>
          </cell>
          <cell r="BK25">
            <v>0</v>
          </cell>
          <cell r="BL25">
            <v>0</v>
          </cell>
          <cell r="BM25">
            <v>134796.78999999998</v>
          </cell>
          <cell r="BN25">
            <v>137416.78999999998</v>
          </cell>
          <cell r="BO25">
            <v>0</v>
          </cell>
          <cell r="BP25">
            <v>137416.78999999998</v>
          </cell>
          <cell r="BQ25">
            <v>608</v>
          </cell>
          <cell r="BR25">
            <v>136808.78999999998</v>
          </cell>
          <cell r="CC25">
            <v>0</v>
          </cell>
          <cell r="CE25">
            <v>137416.78999999998</v>
          </cell>
        </row>
        <row r="26">
          <cell r="A26" t="str">
            <v>JE#  P030  Nondeductible Dues</v>
          </cell>
          <cell r="B26" t="str">
            <v>P030</v>
          </cell>
          <cell r="D26" t="str">
            <v>TB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98</v>
          </cell>
          <cell r="BN26">
            <v>98</v>
          </cell>
          <cell r="BO26">
            <v>0</v>
          </cell>
          <cell r="BP26">
            <v>98</v>
          </cell>
          <cell r="BQ26">
            <v>98</v>
          </cell>
          <cell r="BR26">
            <v>0</v>
          </cell>
          <cell r="CC26">
            <v>0</v>
          </cell>
          <cell r="CE26">
            <v>98</v>
          </cell>
        </row>
        <row r="27">
          <cell r="A27" t="str">
            <v>JE#  P035  Amortization of Preferred Stock Expense</v>
          </cell>
          <cell r="B27" t="str">
            <v>P035</v>
          </cell>
          <cell r="D27" t="str">
            <v>TB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1420.95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1420.95</v>
          </cell>
          <cell r="BN27">
            <v>1420.95</v>
          </cell>
          <cell r="BO27">
            <v>0</v>
          </cell>
          <cell r="BP27">
            <v>1420.95</v>
          </cell>
          <cell r="BQ27">
            <v>0</v>
          </cell>
          <cell r="BR27">
            <v>1420.95</v>
          </cell>
          <cell r="CC27">
            <v>0</v>
          </cell>
          <cell r="CE27">
            <v>1420.95</v>
          </cell>
        </row>
        <row r="28">
          <cell r="A28" t="str">
            <v>JE#  P040  Lobbying Expenses</v>
          </cell>
          <cell r="B28" t="str">
            <v>P040</v>
          </cell>
          <cell r="D28" t="str">
            <v>TB</v>
          </cell>
          <cell r="F28">
            <v>1302.08</v>
          </cell>
          <cell r="G28">
            <v>131227.84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75247.320000000007</v>
          </cell>
          <cell r="S28">
            <v>531.72</v>
          </cell>
          <cell r="T28">
            <v>2130.0500000000002</v>
          </cell>
          <cell r="U28">
            <v>58299.48</v>
          </cell>
          <cell r="V28">
            <v>3483.57</v>
          </cell>
          <cell r="W28">
            <v>33672.639999999999</v>
          </cell>
          <cell r="X28">
            <v>0</v>
          </cell>
          <cell r="Y28">
            <v>0</v>
          </cell>
          <cell r="Z28">
            <v>101244</v>
          </cell>
          <cell r="AA28">
            <v>55458.18</v>
          </cell>
          <cell r="AB28">
            <v>10994</v>
          </cell>
          <cell r="AC28">
            <v>337.44</v>
          </cell>
          <cell r="AD28">
            <v>58378.53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318054.71000000002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I28">
            <v>0</v>
          </cell>
          <cell r="BJ28">
            <v>131227.84</v>
          </cell>
          <cell r="BK28">
            <v>0</v>
          </cell>
          <cell r="BL28">
            <v>0</v>
          </cell>
          <cell r="BM28">
            <v>719133.72</v>
          </cell>
          <cell r="BN28">
            <v>850361.55999999994</v>
          </cell>
          <cell r="BO28">
            <v>0</v>
          </cell>
          <cell r="BP28">
            <v>850361.55999999994</v>
          </cell>
          <cell r="BQ28">
            <v>0</v>
          </cell>
          <cell r="BR28">
            <v>850361.55999999994</v>
          </cell>
          <cell r="CC28">
            <v>0</v>
          </cell>
          <cell r="CE28">
            <v>850361.55999999994</v>
          </cell>
        </row>
        <row r="29">
          <cell r="A29" t="str">
            <v>JE#  P045 Political Contributions</v>
          </cell>
          <cell r="B29" t="str">
            <v>P045</v>
          </cell>
          <cell r="D29" t="str">
            <v>TB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20000</v>
          </cell>
          <cell r="AA29">
            <v>22000</v>
          </cell>
          <cell r="AB29">
            <v>0</v>
          </cell>
          <cell r="AC29">
            <v>0</v>
          </cell>
          <cell r="AD29">
            <v>2500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6500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71000</v>
          </cell>
          <cell r="BN29">
            <v>71000</v>
          </cell>
          <cell r="BO29">
            <v>0</v>
          </cell>
          <cell r="BP29">
            <v>71000</v>
          </cell>
          <cell r="BQ29">
            <v>0</v>
          </cell>
          <cell r="BR29">
            <v>71000</v>
          </cell>
          <cell r="CC29">
            <v>0</v>
          </cell>
          <cell r="CE29">
            <v>71000</v>
          </cell>
        </row>
        <row r="30">
          <cell r="A30" t="str">
            <v>Other Perms (Skybox seats)</v>
          </cell>
          <cell r="B30" t="str">
            <v>P004</v>
          </cell>
          <cell r="D30" t="str">
            <v>Separate Schedule - B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108619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I30">
            <v>108619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108619</v>
          </cell>
          <cell r="BO30">
            <v>0</v>
          </cell>
          <cell r="BP30">
            <v>108619</v>
          </cell>
          <cell r="BQ30">
            <v>0</v>
          </cell>
          <cell r="BR30">
            <v>108619</v>
          </cell>
          <cell r="CC30">
            <v>0</v>
          </cell>
          <cell r="CE30">
            <v>108619</v>
          </cell>
        </row>
        <row r="31">
          <cell r="A31" t="str">
            <v>Medicare Subsidy</v>
          </cell>
          <cell r="B31" t="str">
            <v>P076</v>
          </cell>
          <cell r="D31" t="str">
            <v>Separate Schedule - A1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CC31">
            <v>0</v>
          </cell>
          <cell r="CE31">
            <v>0</v>
          </cell>
        </row>
        <row r="32">
          <cell r="A32" t="str">
            <v>Preferred Stock Redemptions</v>
          </cell>
          <cell r="B32" t="str">
            <v>P998</v>
          </cell>
          <cell r="D32" t="str">
            <v>Separate Schedule - B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6318</v>
          </cell>
          <cell r="S32">
            <v>0</v>
          </cell>
          <cell r="T32">
            <v>0</v>
          </cell>
          <cell r="U32">
            <v>69080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3600</v>
          </cell>
          <cell r="AB32">
            <v>0</v>
          </cell>
          <cell r="AC32">
            <v>0</v>
          </cell>
          <cell r="AD32">
            <v>0</v>
          </cell>
          <cell r="AE32">
            <v>964785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1043783</v>
          </cell>
          <cell r="BN32">
            <v>1043783</v>
          </cell>
          <cell r="BO32">
            <v>0</v>
          </cell>
          <cell r="BP32">
            <v>1043783</v>
          </cell>
          <cell r="BQ32">
            <v>964785</v>
          </cell>
          <cell r="BR32">
            <v>78998</v>
          </cell>
          <cell r="CC32">
            <v>0</v>
          </cell>
          <cell r="CE32">
            <v>1043783</v>
          </cell>
        </row>
        <row r="33">
          <cell r="A33" t="str">
            <v>Domestic Dividend Received Deduction</v>
          </cell>
          <cell r="B33" t="str">
            <v>P997</v>
          </cell>
          <cell r="D33" t="str">
            <v>Separate Schedule - B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CC33">
            <v>0</v>
          </cell>
          <cell r="CE33">
            <v>0</v>
          </cell>
        </row>
        <row r="34">
          <cell r="A34" t="str">
            <v>Goodwill Impairment</v>
          </cell>
          <cell r="B34" t="str">
            <v>P996</v>
          </cell>
          <cell r="D34" t="str">
            <v>Separate Schedule - B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CC34">
            <v>0</v>
          </cell>
          <cell r="CE34">
            <v>0</v>
          </cell>
        </row>
        <row r="35">
          <cell r="A35" t="str">
            <v>Div Dec PS-Out w/ mandatory redemption (Acct# 860040) - Pref Div</v>
          </cell>
          <cell r="B35" t="str">
            <v>P055</v>
          </cell>
          <cell r="D35" t="str">
            <v>TB</v>
          </cell>
          <cell r="F35">
            <v>0</v>
          </cell>
          <cell r="G35">
            <v>5516.12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381150</v>
          </cell>
          <cell r="S35">
            <v>0</v>
          </cell>
          <cell r="T35">
            <v>1061727.23</v>
          </cell>
          <cell r="U35">
            <v>0</v>
          </cell>
          <cell r="V35">
            <v>176.39</v>
          </cell>
          <cell r="W35">
            <v>156388.54</v>
          </cell>
          <cell r="X35">
            <v>0</v>
          </cell>
          <cell r="Y35">
            <v>0</v>
          </cell>
          <cell r="Z35">
            <v>0</v>
          </cell>
          <cell r="AA35">
            <v>5100</v>
          </cell>
          <cell r="AB35">
            <v>0</v>
          </cell>
          <cell r="AC35">
            <v>0</v>
          </cell>
          <cell r="AD35">
            <v>202725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I35">
            <v>0</v>
          </cell>
          <cell r="BJ35">
            <v>5516.12</v>
          </cell>
          <cell r="BK35">
            <v>0</v>
          </cell>
          <cell r="BL35">
            <v>0</v>
          </cell>
          <cell r="BM35">
            <v>1807267.16</v>
          </cell>
          <cell r="BN35">
            <v>1812783.28</v>
          </cell>
          <cell r="BO35">
            <v>0</v>
          </cell>
          <cell r="BP35">
            <v>1812783.28</v>
          </cell>
          <cell r="BQ35">
            <v>0</v>
          </cell>
          <cell r="BR35">
            <v>1812783.28</v>
          </cell>
          <cell r="CC35">
            <v>0</v>
          </cell>
          <cell r="CE35">
            <v>1812783.28</v>
          </cell>
        </row>
        <row r="36">
          <cell r="A36" t="str">
            <v>Other Permanent Items (IPO costs)</v>
          </cell>
          <cell r="B36" t="str">
            <v>x</v>
          </cell>
          <cell r="D36" t="str">
            <v>Separate Schedule - B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CC36">
            <v>0</v>
          </cell>
          <cell r="CE36">
            <v>0</v>
          </cell>
        </row>
        <row r="37">
          <cell r="A37" t="str">
            <v>Jacobson Park Donation - Book Adjustment</v>
          </cell>
          <cell r="B37" t="str">
            <v>x</v>
          </cell>
          <cell r="D37" t="str">
            <v>Separate Schedule - 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</row>
        <row r="38">
          <cell r="A38" t="str">
            <v>Jacobson Park Donation - Tax Adjustment</v>
          </cell>
          <cell r="B38" t="str">
            <v>x</v>
          </cell>
          <cell r="D38" t="str">
            <v>Separate Schedule - B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</row>
        <row r="39">
          <cell r="A39" t="str">
            <v>Charitable Contribution - Felton</v>
          </cell>
          <cell r="B39" t="str">
            <v>x</v>
          </cell>
          <cell r="D39" t="str">
            <v>Separate Schedule - B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</row>
        <row r="40">
          <cell r="A40" t="str">
            <v>MTBE Settlement</v>
          </cell>
          <cell r="B40" t="str">
            <v>x</v>
          </cell>
          <cell r="D40" t="str">
            <v>Separate Schedule - 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CC40">
            <v>0</v>
          </cell>
          <cell r="CE40">
            <v>0</v>
          </cell>
        </row>
        <row r="41">
          <cell r="A41" t="str">
            <v>Non-deductible/Capital Loss on subsidiary dissolution</v>
          </cell>
          <cell r="B41" t="str">
            <v>x</v>
          </cell>
          <cell r="D41" t="str">
            <v>Separate Schedule - 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CC41">
            <v>0</v>
          </cell>
          <cell r="CE41">
            <v>0</v>
          </cell>
        </row>
        <row r="42">
          <cell r="A42" t="str">
            <v>Felton Book Loss - attributable to wo of GW</v>
          </cell>
          <cell r="B42" t="str">
            <v>x</v>
          </cell>
          <cell r="D42" t="str">
            <v>Separate Schedule - B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CC42">
            <v>0</v>
          </cell>
          <cell r="CE42">
            <v>0</v>
          </cell>
        </row>
        <row r="43">
          <cell r="A43" t="str">
            <v>Sale of AWM</v>
          </cell>
          <cell r="B43" t="str">
            <v>x</v>
          </cell>
          <cell r="D43" t="str">
            <v>Separate Schedule - B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C43">
            <v>0</v>
          </cell>
          <cell r="CE43">
            <v>0</v>
          </cell>
        </row>
        <row r="45">
          <cell r="A45" t="str">
            <v>Total Permanent Differences</v>
          </cell>
          <cell r="F45">
            <v>652797.30500000005</v>
          </cell>
          <cell r="G45">
            <v>332925.85499999998</v>
          </cell>
          <cell r="H45">
            <v>2.82</v>
          </cell>
          <cell r="I45">
            <v>44544</v>
          </cell>
          <cell r="J45">
            <v>24270.79</v>
          </cell>
          <cell r="K45">
            <v>1052</v>
          </cell>
          <cell r="L45">
            <v>10700</v>
          </cell>
          <cell r="M45">
            <v>198.5</v>
          </cell>
          <cell r="N45">
            <v>1925.5</v>
          </cell>
          <cell r="O45">
            <v>1467</v>
          </cell>
          <cell r="P45">
            <v>0</v>
          </cell>
          <cell r="Q45">
            <v>0</v>
          </cell>
          <cell r="R45">
            <v>507308.92000000004</v>
          </cell>
          <cell r="S45">
            <v>2637.9300000000003</v>
          </cell>
          <cell r="T45">
            <v>1411055.405</v>
          </cell>
          <cell r="U45">
            <v>169899.55</v>
          </cell>
          <cell r="V45">
            <v>24586.93</v>
          </cell>
          <cell r="W45">
            <v>244464.495</v>
          </cell>
          <cell r="X45">
            <v>0</v>
          </cell>
          <cell r="Y45">
            <v>0</v>
          </cell>
          <cell r="Z45">
            <v>231153.55499999999</v>
          </cell>
          <cell r="AA45">
            <v>150366.22</v>
          </cell>
          <cell r="AB45">
            <v>35455.345000000001</v>
          </cell>
          <cell r="AC45">
            <v>802.06999999999994</v>
          </cell>
          <cell r="AD45">
            <v>546180.30000000005</v>
          </cell>
          <cell r="AE45">
            <v>964785</v>
          </cell>
          <cell r="AF45">
            <v>0</v>
          </cell>
          <cell r="AG45">
            <v>0</v>
          </cell>
          <cell r="AH45">
            <v>0</v>
          </cell>
          <cell r="AI45">
            <v>141712.30499999999</v>
          </cell>
          <cell r="AJ45">
            <v>0</v>
          </cell>
          <cell r="AK45">
            <v>532526.06000000006</v>
          </cell>
          <cell r="AL45">
            <v>2451</v>
          </cell>
          <cell r="AM45">
            <v>0</v>
          </cell>
          <cell r="AN45">
            <v>10476.17</v>
          </cell>
          <cell r="AO45">
            <v>0</v>
          </cell>
          <cell r="AP45">
            <v>1078.45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91036.5</v>
          </cell>
          <cell r="BA45">
            <v>17708.5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I45">
            <v>152412.30499999999</v>
          </cell>
          <cell r="BJ45">
            <v>332925.85499999998</v>
          </cell>
          <cell r="BK45">
            <v>44546.82</v>
          </cell>
          <cell r="BL45">
            <v>110212</v>
          </cell>
          <cell r="BM45">
            <v>5515471.4949999992</v>
          </cell>
          <cell r="BN45">
            <v>6155568.4750000006</v>
          </cell>
          <cell r="BO45">
            <v>0</v>
          </cell>
          <cell r="BP45">
            <v>6155568.4750000006</v>
          </cell>
          <cell r="BQ45">
            <v>967236</v>
          </cell>
          <cell r="BR45">
            <v>5188332.4749999996</v>
          </cell>
          <cell r="BS45" t="str">
            <v>CF OK</v>
          </cell>
          <cell r="BU45">
            <v>964785.00000000093</v>
          </cell>
          <cell r="BZ45">
            <v>0</v>
          </cell>
          <cell r="CA45">
            <v>0</v>
          </cell>
          <cell r="CC45">
            <v>0</v>
          </cell>
          <cell r="CE45">
            <v>6155568.4750000006</v>
          </cell>
          <cell r="CF45" t="e">
            <v>#REF!</v>
          </cell>
        </row>
        <row r="47">
          <cell r="A47" t="str">
            <v>Temporary Differences:</v>
          </cell>
        </row>
        <row r="48">
          <cell r="A48" t="str">
            <v>JE#  T005  Uncollectible Accounts</v>
          </cell>
          <cell r="B48" t="str">
            <v>T005</v>
          </cell>
          <cell r="C48" t="str">
            <v>A7.60</v>
          </cell>
          <cell r="D48" t="str">
            <v>TB</v>
          </cell>
          <cell r="F48">
            <v>-15651.38</v>
          </cell>
          <cell r="G48">
            <v>1323941.99</v>
          </cell>
          <cell r="H48">
            <v>0</v>
          </cell>
          <cell r="I48">
            <v>-311033</v>
          </cell>
          <cell r="J48">
            <v>179852.3</v>
          </cell>
          <cell r="K48">
            <v>6537</v>
          </cell>
          <cell r="L48">
            <v>78813</v>
          </cell>
          <cell r="M48">
            <v>76294</v>
          </cell>
          <cell r="N48">
            <v>468948</v>
          </cell>
          <cell r="O48">
            <v>0</v>
          </cell>
          <cell r="P48">
            <v>0</v>
          </cell>
          <cell r="Q48">
            <v>-304.37</v>
          </cell>
          <cell r="R48">
            <v>113258.49</v>
          </cell>
          <cell r="S48">
            <v>-5502.05</v>
          </cell>
          <cell r="T48">
            <v>2592227.16</v>
          </cell>
          <cell r="U48">
            <v>29649.67</v>
          </cell>
          <cell r="V48">
            <v>104074.62999999999</v>
          </cell>
          <cell r="W48">
            <v>105101.61</v>
          </cell>
          <cell r="X48">
            <v>0</v>
          </cell>
          <cell r="Y48">
            <v>0</v>
          </cell>
          <cell r="Z48">
            <v>-39822.69</v>
          </cell>
          <cell r="AA48">
            <v>-189751.66999999998</v>
          </cell>
          <cell r="AB48">
            <v>53980.79</v>
          </cell>
          <cell r="AC48">
            <v>-1748.04</v>
          </cell>
          <cell r="AD48">
            <v>298014.05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120301</v>
          </cell>
          <cell r="AJ48">
            <v>0</v>
          </cell>
          <cell r="AK48">
            <v>281075.03000000003</v>
          </cell>
          <cell r="AL48">
            <v>-17846</v>
          </cell>
          <cell r="AM48">
            <v>0</v>
          </cell>
          <cell r="AN48">
            <v>97987.73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334900</v>
          </cell>
          <cell r="BA48">
            <v>198453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I48">
            <v>199114</v>
          </cell>
          <cell r="BJ48">
            <v>1323941.99</v>
          </cell>
          <cell r="BK48">
            <v>-311033</v>
          </cell>
          <cell r="BL48">
            <v>533353</v>
          </cell>
          <cell r="BM48">
            <v>4136374.2599999993</v>
          </cell>
          <cell r="BN48">
            <v>5881750.2499999991</v>
          </cell>
          <cell r="BO48">
            <v>0</v>
          </cell>
          <cell r="BP48">
            <v>5881750.2499999991</v>
          </cell>
          <cell r="BQ48">
            <v>-17846</v>
          </cell>
          <cell r="BR48">
            <v>5899596.2499999991</v>
          </cell>
          <cell r="BS48" t="str">
            <v>CF OK</v>
          </cell>
          <cell r="BU48">
            <v>0</v>
          </cell>
          <cell r="CC48">
            <v>0</v>
          </cell>
          <cell r="CE48">
            <v>5881750.2499999991</v>
          </cell>
          <cell r="CF48" t="e">
            <v>#REF!</v>
          </cell>
        </row>
        <row r="49">
          <cell r="A49" t="str">
            <v>JE#  T010  Vacation Pay</v>
          </cell>
          <cell r="B49" t="str">
            <v>T010</v>
          </cell>
          <cell r="C49" t="str">
            <v>A7.10</v>
          </cell>
          <cell r="D49" t="str">
            <v>Separate Schedule - C</v>
          </cell>
          <cell r="F49">
            <v>30470.606250000001</v>
          </cell>
          <cell r="G49">
            <v>29006.579166666666</v>
          </cell>
          <cell r="H49">
            <v>0</v>
          </cell>
          <cell r="I49">
            <v>0</v>
          </cell>
          <cell r="J49">
            <v>1504.8458333333335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1252.6895833333333</v>
          </cell>
          <cell r="S49">
            <v>108.40000000000002</v>
          </cell>
          <cell r="T49">
            <v>-546.31875000000002</v>
          </cell>
          <cell r="U49">
            <v>1620.0229166666666</v>
          </cell>
          <cell r="V49">
            <v>-547.66250000000002</v>
          </cell>
          <cell r="W49">
            <v>10708.339583333334</v>
          </cell>
          <cell r="X49">
            <v>0</v>
          </cell>
          <cell r="Y49">
            <v>0</v>
          </cell>
          <cell r="Z49">
            <v>8843.6937500000004</v>
          </cell>
          <cell r="AA49">
            <v>14968.699999999999</v>
          </cell>
          <cell r="AB49">
            <v>435.44583333333333</v>
          </cell>
          <cell r="AC49">
            <v>3295.5583333333334</v>
          </cell>
          <cell r="AD49">
            <v>15695.197916666666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1153.3708333333334</v>
          </cell>
          <cell r="AJ49">
            <v>0</v>
          </cell>
          <cell r="AK49">
            <v>-73647.666666666672</v>
          </cell>
          <cell r="AL49">
            <v>0</v>
          </cell>
          <cell r="AM49">
            <v>0</v>
          </cell>
          <cell r="AN49">
            <v>-3224.1604166666666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I49">
            <v>1153.3708333333334</v>
          </cell>
          <cell r="BJ49">
            <v>29006.579166666666</v>
          </cell>
          <cell r="BK49">
            <v>0</v>
          </cell>
          <cell r="BL49">
            <v>0</v>
          </cell>
          <cell r="BM49">
            <v>10937.69166666668</v>
          </cell>
          <cell r="BN49">
            <v>41097.641666666677</v>
          </cell>
          <cell r="BO49">
            <v>0</v>
          </cell>
          <cell r="BP49">
            <v>41097.641666666677</v>
          </cell>
          <cell r="BQ49">
            <v>0</v>
          </cell>
          <cell r="BR49">
            <v>41097.641666666677</v>
          </cell>
          <cell r="BS49" t="str">
            <v>CF OK</v>
          </cell>
          <cell r="BU49">
            <v>0</v>
          </cell>
          <cell r="CC49">
            <v>0</v>
          </cell>
          <cell r="CE49">
            <v>41097.641666666677</v>
          </cell>
          <cell r="CF49" t="e">
            <v>#REF!</v>
          </cell>
        </row>
        <row r="50">
          <cell r="A50" t="str">
            <v>JE#  T015  Customer Deposits</v>
          </cell>
          <cell r="B50" t="str">
            <v>T015</v>
          </cell>
          <cell r="C50" t="str">
            <v>A7.25</v>
          </cell>
          <cell r="D50" t="str">
            <v>TB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 t="str">
            <v>CF OK</v>
          </cell>
          <cell r="BU50">
            <v>0</v>
          </cell>
          <cell r="CC50">
            <v>0</v>
          </cell>
          <cell r="CE50">
            <v>0</v>
          </cell>
          <cell r="CF50" t="e">
            <v>#REF!</v>
          </cell>
        </row>
        <row r="51">
          <cell r="A51" t="str">
            <v>JE#  T020  Taxable Contributions (CIAC 1)</v>
          </cell>
          <cell r="B51" t="str">
            <v>T020</v>
          </cell>
          <cell r="C51" t="str">
            <v>A1.10</v>
          </cell>
          <cell r="D51" t="str">
            <v>TB</v>
          </cell>
          <cell r="F51">
            <v>0</v>
          </cell>
          <cell r="G51">
            <v>-3696119.83</v>
          </cell>
          <cell r="H51">
            <v>0</v>
          </cell>
          <cell r="I51">
            <v>0</v>
          </cell>
          <cell r="J51">
            <v>0</v>
          </cell>
          <cell r="K51">
            <v>-292224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-6260.74</v>
          </cell>
          <cell r="R51">
            <v>-1185161.5299999998</v>
          </cell>
          <cell r="S51">
            <v>-58534.26</v>
          </cell>
          <cell r="T51">
            <v>-3849423.2399999998</v>
          </cell>
          <cell r="U51">
            <v>-123007.60999999999</v>
          </cell>
          <cell r="V51">
            <v>-579722.97</v>
          </cell>
          <cell r="W51">
            <v>-733</v>
          </cell>
          <cell r="X51">
            <v>0</v>
          </cell>
          <cell r="Y51">
            <v>0</v>
          </cell>
          <cell r="Z51">
            <v>-3360467.08</v>
          </cell>
          <cell r="AA51">
            <v>54712.81</v>
          </cell>
          <cell r="AB51">
            <v>0</v>
          </cell>
          <cell r="AC51">
            <v>-902.04</v>
          </cell>
          <cell r="AD51">
            <v>-6117619.9300000006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-1633441.25</v>
          </cell>
          <cell r="AL51">
            <v>-5157</v>
          </cell>
          <cell r="AM51">
            <v>0</v>
          </cell>
          <cell r="AN51">
            <v>-65571.600000000006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I51">
            <v>0</v>
          </cell>
          <cell r="BJ51">
            <v>-3696119.83</v>
          </cell>
          <cell r="BK51">
            <v>0</v>
          </cell>
          <cell r="BL51">
            <v>0</v>
          </cell>
          <cell r="BM51">
            <v>-17223513.440000001</v>
          </cell>
          <cell r="BN51">
            <v>-20919633.270000003</v>
          </cell>
          <cell r="BO51">
            <v>0</v>
          </cell>
          <cell r="BP51">
            <v>-20919633.270000003</v>
          </cell>
          <cell r="BQ51">
            <v>-5157</v>
          </cell>
          <cell r="BR51">
            <v>-20914476.270000003</v>
          </cell>
          <cell r="BS51" t="str">
            <v>CF OK</v>
          </cell>
          <cell r="BU51">
            <v>0</v>
          </cell>
          <cell r="CC51">
            <v>0</v>
          </cell>
          <cell r="CE51">
            <v>-20919633.270000003</v>
          </cell>
          <cell r="CF51" t="e">
            <v>#REF!</v>
          </cell>
        </row>
        <row r="52">
          <cell r="A52" t="str">
            <v>JE#  T021  Deferred Revenue - CIAC (CIAC 2)</v>
          </cell>
          <cell r="B52" t="str">
            <v>T021</v>
          </cell>
          <cell r="C52" t="str">
            <v>A1.10</v>
          </cell>
          <cell r="D52" t="str">
            <v>TB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-29517.24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57425.19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36345.490000000005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64253.440000000002</v>
          </cell>
          <cell r="BN52">
            <v>64253.440000000002</v>
          </cell>
          <cell r="BO52">
            <v>0</v>
          </cell>
          <cell r="BP52">
            <v>64253.440000000002</v>
          </cell>
          <cell r="BQ52">
            <v>0</v>
          </cell>
          <cell r="BR52">
            <v>64253.440000000002</v>
          </cell>
          <cell r="BS52" t="str">
            <v>CF OK</v>
          </cell>
          <cell r="BU52">
            <v>0</v>
          </cell>
          <cell r="CC52">
            <v>0</v>
          </cell>
          <cell r="CE52">
            <v>64253.440000000002</v>
          </cell>
          <cell r="CF52" t="e">
            <v>#REF!</v>
          </cell>
        </row>
        <row r="53">
          <cell r="A53" t="str">
            <v>JE#  T025  Taxable Advances (CAC 1)</v>
          </cell>
          <cell r="B53" t="str">
            <v>T025</v>
          </cell>
          <cell r="C53" t="str">
            <v>A1.10</v>
          </cell>
          <cell r="D53" t="str">
            <v>TB</v>
          </cell>
          <cell r="F53">
            <v>0</v>
          </cell>
          <cell r="G53">
            <v>1308476.75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1532089.74</v>
          </cell>
          <cell r="U53">
            <v>65870.070000000007</v>
          </cell>
          <cell r="V53">
            <v>61732.209999999992</v>
          </cell>
          <cell r="W53">
            <v>-11247.09</v>
          </cell>
          <cell r="X53">
            <v>0</v>
          </cell>
          <cell r="Y53">
            <v>0</v>
          </cell>
          <cell r="Z53">
            <v>1206760.71</v>
          </cell>
          <cell r="AA53">
            <v>989.27999999999884</v>
          </cell>
          <cell r="AB53">
            <v>98363.85</v>
          </cell>
          <cell r="AC53">
            <v>0</v>
          </cell>
          <cell r="AD53">
            <v>-72517.700000000012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-8403.8999999998487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I53">
            <v>0</v>
          </cell>
          <cell r="BJ53">
            <v>1308476.75</v>
          </cell>
          <cell r="BK53">
            <v>0</v>
          </cell>
          <cell r="BL53">
            <v>0</v>
          </cell>
          <cell r="BM53">
            <v>2873637.1699999995</v>
          </cell>
          <cell r="BN53">
            <v>4182113.9199999995</v>
          </cell>
          <cell r="BO53">
            <v>0</v>
          </cell>
          <cell r="BP53">
            <v>4182113.9199999995</v>
          </cell>
          <cell r="BQ53">
            <v>0</v>
          </cell>
          <cell r="BR53">
            <v>4182113.9199999995</v>
          </cell>
          <cell r="BS53" t="str">
            <v>CF OK</v>
          </cell>
          <cell r="BU53">
            <v>0</v>
          </cell>
          <cell r="CC53">
            <v>0</v>
          </cell>
          <cell r="CE53">
            <v>4182113.9199999995</v>
          </cell>
          <cell r="CF53" t="e">
            <v>#REF!</v>
          </cell>
        </row>
        <row r="54">
          <cell r="A54" t="str">
            <v>JE#  T026  Deferred Revenue - AIC (CAC 2)</v>
          </cell>
          <cell r="B54" t="str">
            <v>T026</v>
          </cell>
          <cell r="C54" t="str">
            <v>A1.10</v>
          </cell>
          <cell r="D54" t="str">
            <v>TB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 t="str">
            <v>CF OK</v>
          </cell>
          <cell r="BU54">
            <v>0</v>
          </cell>
          <cell r="CC54">
            <v>0</v>
          </cell>
          <cell r="CE54">
            <v>0</v>
          </cell>
          <cell r="CF54" t="e">
            <v>#REF!</v>
          </cell>
        </row>
        <row r="55">
          <cell r="A55" t="str">
            <v>JE#  T030  Merger Expense</v>
          </cell>
          <cell r="B55" t="str">
            <v>T030</v>
          </cell>
          <cell r="C55" t="str">
            <v>L5.10</v>
          </cell>
          <cell r="D55" t="str">
            <v>TB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 t="str">
            <v>CF OK</v>
          </cell>
          <cell r="BU55">
            <v>0</v>
          </cell>
          <cell r="CC55">
            <v>0</v>
          </cell>
          <cell r="CE55">
            <v>0</v>
          </cell>
          <cell r="CF55" t="e">
            <v>#REF!</v>
          </cell>
        </row>
        <row r="56">
          <cell r="A56" t="str">
            <v>JE#  T040  Rate Case Expense</v>
          </cell>
          <cell r="B56" t="str">
            <v>T040</v>
          </cell>
          <cell r="C56" t="str">
            <v>L5.10</v>
          </cell>
          <cell r="D56" t="str">
            <v>TB</v>
          </cell>
          <cell r="F56">
            <v>0</v>
          </cell>
          <cell r="G56">
            <v>532012.26</v>
          </cell>
          <cell r="H56">
            <v>0</v>
          </cell>
          <cell r="I56">
            <v>0</v>
          </cell>
          <cell r="J56">
            <v>498922.41</v>
          </cell>
          <cell r="K56">
            <v>32224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50918.99</v>
          </cell>
          <cell r="S56">
            <v>30246.799999999999</v>
          </cell>
          <cell r="T56">
            <v>574615.1</v>
          </cell>
          <cell r="U56">
            <v>-229506.24</v>
          </cell>
          <cell r="V56">
            <v>-146809.42000000001</v>
          </cell>
          <cell r="W56">
            <v>82739.820000000007</v>
          </cell>
          <cell r="X56">
            <v>0</v>
          </cell>
          <cell r="Y56">
            <v>0</v>
          </cell>
          <cell r="Z56">
            <v>200281.28</v>
          </cell>
          <cell r="AA56">
            <v>461349.86</v>
          </cell>
          <cell r="AB56">
            <v>-77367.41</v>
          </cell>
          <cell r="AC56">
            <v>0</v>
          </cell>
          <cell r="AD56">
            <v>218813.47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1189472.83</v>
          </cell>
          <cell r="AL56">
            <v>0</v>
          </cell>
          <cell r="AM56">
            <v>0</v>
          </cell>
          <cell r="AN56">
            <v>133020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I56">
            <v>0</v>
          </cell>
          <cell r="BJ56">
            <v>532012.26</v>
          </cell>
          <cell r="BK56">
            <v>0</v>
          </cell>
          <cell r="BL56">
            <v>0</v>
          </cell>
          <cell r="BM56">
            <v>3018921.4899999998</v>
          </cell>
          <cell r="BN56">
            <v>3550933.75</v>
          </cell>
          <cell r="BO56">
            <v>0</v>
          </cell>
          <cell r="BP56">
            <v>3550933.75</v>
          </cell>
          <cell r="BQ56">
            <v>0</v>
          </cell>
          <cell r="BR56">
            <v>3550933.75</v>
          </cell>
          <cell r="BS56" t="str">
            <v>CF OK</v>
          </cell>
          <cell r="BU56">
            <v>0</v>
          </cell>
          <cell r="CC56">
            <v>0</v>
          </cell>
          <cell r="CE56">
            <v>3550933.75</v>
          </cell>
          <cell r="CF56" t="e">
            <v>#REF!</v>
          </cell>
        </row>
        <row r="57">
          <cell r="A57" t="str">
            <v>JE#  T045  Depreciation and Amortization (Depr 1)</v>
          </cell>
          <cell r="B57" t="str">
            <v>T045</v>
          </cell>
          <cell r="C57" t="str">
            <v>L1.20</v>
          </cell>
          <cell r="D57" t="str">
            <v>Separate Schedule - D</v>
          </cell>
          <cell r="F57">
            <v>-4584267.43</v>
          </cell>
          <cell r="G57">
            <v>-67716716.074838012</v>
          </cell>
          <cell r="H57">
            <v>503069.12839999999</v>
          </cell>
          <cell r="I57">
            <v>-31340</v>
          </cell>
          <cell r="J57">
            <v>-4144274.6230081795</v>
          </cell>
          <cell r="K57">
            <v>-111819.89442888717</v>
          </cell>
          <cell r="L57">
            <v>0</v>
          </cell>
          <cell r="M57">
            <v>294062.98999999987</v>
          </cell>
          <cell r="N57">
            <v>-2287623.9300000002</v>
          </cell>
          <cell r="O57">
            <v>-30000</v>
          </cell>
          <cell r="P57">
            <v>0</v>
          </cell>
          <cell r="Q57">
            <v>4782.9103999999961</v>
          </cell>
          <cell r="R57">
            <v>-113321.31014165096</v>
          </cell>
          <cell r="S57">
            <v>-394583.63727269205</v>
          </cell>
          <cell r="T57">
            <v>-100841246.20304567</v>
          </cell>
          <cell r="U57">
            <v>-3876499.291510866</v>
          </cell>
          <cell r="V57">
            <v>-2671417.4557823827</v>
          </cell>
          <cell r="W57">
            <v>-9760972.1873438619</v>
          </cell>
          <cell r="X57">
            <v>0</v>
          </cell>
          <cell r="Y57">
            <v>0</v>
          </cell>
          <cell r="Z57">
            <v>-19207210.287226804</v>
          </cell>
          <cell r="AA57">
            <v>-13177388.676730055</v>
          </cell>
          <cell r="AB57">
            <v>-2151290.7130005751</v>
          </cell>
          <cell r="AC57">
            <v>-77194.641620731971</v>
          </cell>
          <cell r="AD57">
            <v>-29702204.146606915</v>
          </cell>
          <cell r="AE57">
            <v>0</v>
          </cell>
          <cell r="AF57">
            <v>-1049102.8335999998</v>
          </cell>
          <cell r="AG57">
            <v>0</v>
          </cell>
          <cell r="AH57">
            <v>0</v>
          </cell>
          <cell r="AI57">
            <v>4718.46</v>
          </cell>
          <cell r="AJ57">
            <v>0</v>
          </cell>
          <cell r="AK57">
            <v>-6398924.9058307521</v>
          </cell>
          <cell r="AL57">
            <v>0</v>
          </cell>
          <cell r="AM57">
            <v>0</v>
          </cell>
          <cell r="AN57">
            <v>270465.92029097211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-8309522</v>
          </cell>
          <cell r="BA57">
            <v>-1022006</v>
          </cell>
          <cell r="BB57">
            <v>0</v>
          </cell>
          <cell r="BC57">
            <v>0</v>
          </cell>
          <cell r="BD57">
            <v>0</v>
          </cell>
          <cell r="BE57">
            <v>-1793303</v>
          </cell>
          <cell r="BF57">
            <v>-1636753</v>
          </cell>
          <cell r="BI57">
            <v>4718.46</v>
          </cell>
          <cell r="BJ57">
            <v>-67716716.074838012</v>
          </cell>
          <cell r="BK57">
            <v>471729.12839999999</v>
          </cell>
          <cell r="BL57">
            <v>-9361528</v>
          </cell>
          <cell r="BM57">
            <v>-203410086.34645906</v>
          </cell>
          <cell r="BN57">
            <v>-280011882.83289707</v>
          </cell>
          <cell r="BO57">
            <v>0</v>
          </cell>
          <cell r="BP57">
            <v>-280011882.83289707</v>
          </cell>
          <cell r="BQ57">
            <v>-1793303</v>
          </cell>
          <cell r="BR57">
            <v>-278218579.83289707</v>
          </cell>
          <cell r="BS57" t="str">
            <v>CF OK</v>
          </cell>
          <cell r="BU57">
            <v>0</v>
          </cell>
          <cell r="CC57">
            <v>0</v>
          </cell>
          <cell r="CE57">
            <v>-280011882.83289707</v>
          </cell>
          <cell r="CF57" t="e">
            <v>#REF!</v>
          </cell>
        </row>
        <row r="58">
          <cell r="A58" t="str">
            <v>JE#  T046  Post In-Service Depreciation Expense (Depr 2)</v>
          </cell>
          <cell r="B58" t="str">
            <v>T046</v>
          </cell>
          <cell r="C58" t="str">
            <v>L1.10</v>
          </cell>
          <cell r="D58" t="str">
            <v>TB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101794.65</v>
          </cell>
          <cell r="X58">
            <v>0</v>
          </cell>
          <cell r="Y58">
            <v>0</v>
          </cell>
          <cell r="Z58">
            <v>0</v>
          </cell>
          <cell r="AA58">
            <v>-550851.9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-449057.25</v>
          </cell>
          <cell r="BN58">
            <v>-449057.25</v>
          </cell>
          <cell r="BO58">
            <v>0</v>
          </cell>
          <cell r="BP58">
            <v>-449057.25</v>
          </cell>
          <cell r="BQ58">
            <v>0</v>
          </cell>
          <cell r="BR58">
            <v>-449057.25</v>
          </cell>
          <cell r="BS58" t="str">
            <v>CF OK</v>
          </cell>
          <cell r="BU58">
            <v>0</v>
          </cell>
          <cell r="CC58">
            <v>0</v>
          </cell>
          <cell r="CE58">
            <v>-449057.25</v>
          </cell>
          <cell r="CF58" t="e">
            <v>#REF!</v>
          </cell>
        </row>
        <row r="59">
          <cell r="A59" t="str">
            <v>JE#  T048  Reg Asset - AFUDC Debt (Depr 4)</v>
          </cell>
          <cell r="B59" t="str">
            <v>T048</v>
          </cell>
          <cell r="C59" t="str">
            <v>L1.20</v>
          </cell>
          <cell r="D59" t="str">
            <v>TB</v>
          </cell>
          <cell r="F59">
            <v>0</v>
          </cell>
          <cell r="G59">
            <v>93036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6900</v>
          </cell>
          <cell r="S59">
            <v>85.44</v>
          </cell>
          <cell r="T59">
            <v>167280</v>
          </cell>
          <cell r="U59">
            <v>1115.6400000000001</v>
          </cell>
          <cell r="V59">
            <v>0</v>
          </cell>
          <cell r="W59">
            <v>1179.3599999999999</v>
          </cell>
          <cell r="X59">
            <v>0</v>
          </cell>
          <cell r="Y59">
            <v>0</v>
          </cell>
          <cell r="Z59">
            <v>54120</v>
          </cell>
          <cell r="AA59">
            <v>69360</v>
          </cell>
          <cell r="AB59">
            <v>13344</v>
          </cell>
          <cell r="AC59">
            <v>0</v>
          </cell>
          <cell r="AD59">
            <v>6612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2172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I59">
            <v>0</v>
          </cell>
          <cell r="BJ59">
            <v>93036</v>
          </cell>
          <cell r="BK59">
            <v>0</v>
          </cell>
          <cell r="BL59">
            <v>0</v>
          </cell>
          <cell r="BM59">
            <v>322168.44</v>
          </cell>
          <cell r="BN59">
            <v>415204.44</v>
          </cell>
          <cell r="BO59">
            <v>0</v>
          </cell>
          <cell r="BP59">
            <v>415204.44</v>
          </cell>
          <cell r="BQ59">
            <v>0</v>
          </cell>
          <cell r="BR59">
            <v>415204.44</v>
          </cell>
          <cell r="BS59" t="str">
            <v>CF OK</v>
          </cell>
          <cell r="BU59">
            <v>0</v>
          </cell>
          <cell r="CC59">
            <v>0</v>
          </cell>
          <cell r="CE59">
            <v>415204.44</v>
          </cell>
          <cell r="CF59" t="e">
            <v>#REF!</v>
          </cell>
        </row>
        <row r="60">
          <cell r="A60" t="str">
            <v>JE#  T060  Gains and Losses (Disp 1)</v>
          </cell>
          <cell r="B60" t="str">
            <v>T060</v>
          </cell>
          <cell r="C60" t="str">
            <v>L1.20</v>
          </cell>
          <cell r="D60" t="str">
            <v>n/a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 t="str">
            <v>CF OK</v>
          </cell>
          <cell r="BU60">
            <v>0</v>
          </cell>
          <cell r="CC60">
            <v>0</v>
          </cell>
          <cell r="CE60">
            <v>0</v>
          </cell>
          <cell r="CF60" t="e">
            <v>#REF!</v>
          </cell>
        </row>
        <row r="61">
          <cell r="A61" t="str">
            <v>JE#  T062  Abandonment Losses (Disp 3)</v>
          </cell>
          <cell r="B61" t="str">
            <v>T062</v>
          </cell>
          <cell r="C61" t="str">
            <v>L1.20</v>
          </cell>
          <cell r="D61" t="str">
            <v>Separate Schedule - E</v>
          </cell>
          <cell r="F61">
            <v>0</v>
          </cell>
          <cell r="G61">
            <v>-5168968.0937240263</v>
          </cell>
          <cell r="H61">
            <v>0</v>
          </cell>
          <cell r="I61">
            <v>0</v>
          </cell>
          <cell r="J61">
            <v>-114573.23268581794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-345887.67041244084</v>
          </cell>
          <cell r="S61">
            <v>-15373.331606410757</v>
          </cell>
          <cell r="T61">
            <v>-2978445.1475490443</v>
          </cell>
          <cell r="U61">
            <v>-89193.431558378928</v>
          </cell>
          <cell r="V61">
            <v>-139914.21669120202</v>
          </cell>
          <cell r="W61">
            <v>-1077681.1682521715</v>
          </cell>
          <cell r="X61">
            <v>0</v>
          </cell>
          <cell r="Y61">
            <v>0</v>
          </cell>
          <cell r="Z61">
            <v>-1718814.9151131755</v>
          </cell>
          <cell r="AA61">
            <v>-1602017.7315958566</v>
          </cell>
          <cell r="AB61">
            <v>-240176.61908788749</v>
          </cell>
          <cell r="AC61">
            <v>-26036.739910819626</v>
          </cell>
          <cell r="AD61">
            <v>-1216624.367557063</v>
          </cell>
          <cell r="AE61">
            <v>0</v>
          </cell>
          <cell r="AF61">
            <v>-280.31342730907335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-543872.1650206577</v>
          </cell>
          <cell r="AL61">
            <v>0</v>
          </cell>
          <cell r="AM61">
            <v>0</v>
          </cell>
          <cell r="AN61">
            <v>-45642.792587607299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I61">
            <v>0</v>
          </cell>
          <cell r="BJ61">
            <v>-5168968.0937240263</v>
          </cell>
          <cell r="BK61">
            <v>0</v>
          </cell>
          <cell r="BL61">
            <v>0</v>
          </cell>
          <cell r="BM61">
            <v>-10154533.843055842</v>
          </cell>
          <cell r="BN61">
            <v>-15323501.936779868</v>
          </cell>
          <cell r="BO61">
            <v>0</v>
          </cell>
          <cell r="BP61">
            <v>-15323501.936779868</v>
          </cell>
          <cell r="BQ61">
            <v>0</v>
          </cell>
          <cell r="BR61">
            <v>-15323501.936779868</v>
          </cell>
          <cell r="BS61" t="str">
            <v>CF OK</v>
          </cell>
          <cell r="BU61">
            <v>0</v>
          </cell>
          <cell r="CC61">
            <v>0</v>
          </cell>
          <cell r="CE61">
            <v>-15323501.936779868</v>
          </cell>
          <cell r="CF61" t="e">
            <v>#REF!</v>
          </cell>
        </row>
        <row r="62">
          <cell r="A62" t="str">
            <v>JE#  T063  Cost of Removal (Disp 4)</v>
          </cell>
          <cell r="B62" t="str">
            <v>T063</v>
          </cell>
          <cell r="C62" t="str">
            <v>L1.21</v>
          </cell>
          <cell r="D62" t="str">
            <v>Separate Schedule - F</v>
          </cell>
          <cell r="F62">
            <v>0</v>
          </cell>
          <cell r="G62">
            <v>-8014100.6900000004</v>
          </cell>
          <cell r="H62">
            <v>0</v>
          </cell>
          <cell r="I62">
            <v>0</v>
          </cell>
          <cell r="J62">
            <v>10372.9</v>
          </cell>
          <cell r="K62">
            <v>53575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1246246.8799999999</v>
          </cell>
          <cell r="S62">
            <v>-67257.88</v>
          </cell>
          <cell r="T62">
            <v>-1874872.74</v>
          </cell>
          <cell r="U62">
            <v>-412873.43</v>
          </cell>
          <cell r="V62">
            <v>34956.550000000003</v>
          </cell>
          <cell r="W62">
            <v>-2446500.08</v>
          </cell>
          <cell r="X62">
            <v>0</v>
          </cell>
          <cell r="Y62">
            <v>0</v>
          </cell>
          <cell r="Z62">
            <v>7916361.1500000004</v>
          </cell>
          <cell r="AA62">
            <v>3607173.05</v>
          </cell>
          <cell r="AB62">
            <v>1026982.58</v>
          </cell>
          <cell r="AC62">
            <v>0</v>
          </cell>
          <cell r="AD62">
            <v>3407627.23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1657754.89</v>
          </cell>
          <cell r="AL62">
            <v>14540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I62">
            <v>0</v>
          </cell>
          <cell r="BJ62">
            <v>-8014100.6900000004</v>
          </cell>
          <cell r="BK62">
            <v>0</v>
          </cell>
          <cell r="BL62">
            <v>0</v>
          </cell>
          <cell r="BM62">
            <v>14174086.100000001</v>
          </cell>
          <cell r="BN62">
            <v>6159985.4100000011</v>
          </cell>
          <cell r="BO62">
            <v>0</v>
          </cell>
          <cell r="BP62">
            <v>6159985.4100000011</v>
          </cell>
          <cell r="BQ62">
            <v>14540</v>
          </cell>
          <cell r="BR62">
            <v>6145445.4100000011</v>
          </cell>
          <cell r="BS62" t="str">
            <v>CF OK</v>
          </cell>
          <cell r="BU62">
            <v>0</v>
          </cell>
          <cell r="CC62">
            <v>0</v>
          </cell>
          <cell r="CE62">
            <v>6159985.4100000011</v>
          </cell>
          <cell r="CF62" t="e">
            <v>#REF!</v>
          </cell>
        </row>
        <row r="63">
          <cell r="A63" t="str">
            <v>JE#  T070  Amortization of UPAA</v>
          </cell>
          <cell r="B63" t="str">
            <v>T070</v>
          </cell>
          <cell r="C63" t="str">
            <v>L2.10</v>
          </cell>
          <cell r="D63" t="str">
            <v>TB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-120597</v>
          </cell>
          <cell r="BF63">
            <v>-936567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-1057164</v>
          </cell>
          <cell r="BN63">
            <v>-1057164</v>
          </cell>
          <cell r="BO63">
            <v>0</v>
          </cell>
          <cell r="BP63">
            <v>-1057164</v>
          </cell>
          <cell r="BQ63">
            <v>-120597</v>
          </cell>
          <cell r="BR63">
            <v>-936567</v>
          </cell>
          <cell r="BS63" t="str">
            <v>CF OK</v>
          </cell>
          <cell r="BU63">
            <v>0</v>
          </cell>
          <cell r="CC63">
            <v>0</v>
          </cell>
          <cell r="CE63">
            <v>-1057164</v>
          </cell>
          <cell r="CF63" t="e">
            <v>#REF!</v>
          </cell>
        </row>
        <row r="64">
          <cell r="A64" t="str">
            <v>JE#  T086  Purchased Water - Outside (PWtr 2)</v>
          </cell>
          <cell r="B64" t="str">
            <v>T086</v>
          </cell>
          <cell r="C64" t="str">
            <v>L5.10</v>
          </cell>
          <cell r="D64" t="str">
            <v>TB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 t="str">
            <v>CF OK</v>
          </cell>
          <cell r="BU64">
            <v>0</v>
          </cell>
          <cell r="CC64">
            <v>0</v>
          </cell>
          <cell r="CE64">
            <v>0</v>
          </cell>
          <cell r="CF64" t="e">
            <v>#REF!</v>
          </cell>
        </row>
        <row r="65">
          <cell r="A65" t="str">
            <v>JE#  T090  Depreciation Study</v>
          </cell>
          <cell r="B65" t="str">
            <v>T090</v>
          </cell>
          <cell r="C65" t="str">
            <v>L5.10</v>
          </cell>
          <cell r="D65" t="str">
            <v>TB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7406.52</v>
          </cell>
          <cell r="S65">
            <v>0</v>
          </cell>
          <cell r="T65">
            <v>0</v>
          </cell>
          <cell r="U65">
            <v>1739.04</v>
          </cell>
          <cell r="V65">
            <v>13349.16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-6031.61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16463.11</v>
          </cell>
          <cell r="BN65">
            <v>16463.11</v>
          </cell>
          <cell r="BO65">
            <v>0</v>
          </cell>
          <cell r="BP65">
            <v>16463.11</v>
          </cell>
          <cell r="BQ65">
            <v>0</v>
          </cell>
          <cell r="BR65">
            <v>16463.11</v>
          </cell>
          <cell r="BS65" t="str">
            <v>CF OK</v>
          </cell>
          <cell r="BU65">
            <v>0</v>
          </cell>
          <cell r="CC65">
            <v>0</v>
          </cell>
          <cell r="CE65">
            <v>16463.11</v>
          </cell>
          <cell r="CF65" t="e">
            <v>#REF!</v>
          </cell>
        </row>
        <row r="66">
          <cell r="A66" t="str">
            <v>JE#  T095  Cost of Service Study</v>
          </cell>
          <cell r="B66" t="str">
            <v>T095</v>
          </cell>
          <cell r="C66" t="str">
            <v>L5.10</v>
          </cell>
          <cell r="D66" t="str">
            <v>TB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6737.52</v>
          </cell>
          <cell r="S66">
            <v>0</v>
          </cell>
          <cell r="T66">
            <v>-23417.34</v>
          </cell>
          <cell r="U66">
            <v>10605.24</v>
          </cell>
          <cell r="V66">
            <v>-21455.1</v>
          </cell>
          <cell r="W66">
            <v>7915.56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-19614.12</v>
          </cell>
          <cell r="BN66">
            <v>-19614.12</v>
          </cell>
          <cell r="BO66">
            <v>0</v>
          </cell>
          <cell r="BP66">
            <v>-19614.12</v>
          </cell>
          <cell r="BQ66">
            <v>0</v>
          </cell>
          <cell r="BR66">
            <v>-19614.12</v>
          </cell>
          <cell r="BS66" t="str">
            <v>CF OK</v>
          </cell>
          <cell r="BU66">
            <v>0</v>
          </cell>
          <cell r="CC66">
            <v>0</v>
          </cell>
          <cell r="CE66">
            <v>-19614.12</v>
          </cell>
          <cell r="CF66" t="e">
            <v>#REF!</v>
          </cell>
        </row>
        <row r="67">
          <cell r="A67" t="str">
            <v>JE#  T100  Amortization of Debt Discount</v>
          </cell>
          <cell r="B67" t="str">
            <v>T100</v>
          </cell>
          <cell r="C67" t="str">
            <v>A7.31</v>
          </cell>
          <cell r="D67" t="str">
            <v>TB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12948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12948</v>
          </cell>
          <cell r="BN67">
            <v>12948</v>
          </cell>
          <cell r="BO67">
            <v>0</v>
          </cell>
          <cell r="BP67">
            <v>12948</v>
          </cell>
          <cell r="BQ67">
            <v>0</v>
          </cell>
          <cell r="BR67">
            <v>12948</v>
          </cell>
          <cell r="BS67" t="str">
            <v>CF OK</v>
          </cell>
          <cell r="BU67">
            <v>0</v>
          </cell>
          <cell r="CC67">
            <v>0</v>
          </cell>
          <cell r="CE67">
            <v>12948</v>
          </cell>
          <cell r="CF67" t="e">
            <v>#REF!</v>
          </cell>
        </row>
        <row r="68">
          <cell r="A68" t="str">
            <v>JE#  T105  Management Study</v>
          </cell>
          <cell r="B68" t="str">
            <v>T105</v>
          </cell>
          <cell r="C68" t="str">
            <v>L5.10</v>
          </cell>
          <cell r="D68" t="str">
            <v>TB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70416.600000000006</v>
          </cell>
          <cell r="U68">
            <v>37606.44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108023.04000000001</v>
          </cell>
          <cell r="BN68">
            <v>108023.04000000001</v>
          </cell>
          <cell r="BO68">
            <v>0</v>
          </cell>
          <cell r="BP68">
            <v>108023.04000000001</v>
          </cell>
          <cell r="BQ68">
            <v>0</v>
          </cell>
          <cell r="BR68">
            <v>108023.04000000001</v>
          </cell>
          <cell r="BS68" t="str">
            <v>CF OK</v>
          </cell>
          <cell r="BU68">
            <v>0</v>
          </cell>
          <cell r="CC68">
            <v>0</v>
          </cell>
          <cell r="CE68">
            <v>108023.04000000001</v>
          </cell>
          <cell r="CF68" t="e">
            <v>#REF!</v>
          </cell>
        </row>
        <row r="69">
          <cell r="A69" t="str">
            <v>JE#  T110  Waste Disposal</v>
          </cell>
          <cell r="B69" t="str">
            <v>T110</v>
          </cell>
          <cell r="C69" t="str">
            <v>L5.10</v>
          </cell>
          <cell r="D69" t="str">
            <v>TB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99999.96</v>
          </cell>
          <cell r="S69">
            <v>0</v>
          </cell>
          <cell r="T69">
            <v>0</v>
          </cell>
          <cell r="U69">
            <v>0</v>
          </cell>
          <cell r="V69">
            <v>5164.8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105164.76000000001</v>
          </cell>
          <cell r="BN69">
            <v>105164.76000000001</v>
          </cell>
          <cell r="BO69">
            <v>0</v>
          </cell>
          <cell r="BP69">
            <v>105164.76000000001</v>
          </cell>
          <cell r="BQ69">
            <v>0</v>
          </cell>
          <cell r="BR69">
            <v>105164.76000000001</v>
          </cell>
          <cell r="BS69" t="str">
            <v>CF OK</v>
          </cell>
          <cell r="BU69">
            <v>0</v>
          </cell>
          <cell r="CC69">
            <v>0</v>
          </cell>
          <cell r="CE69">
            <v>105164.76000000001</v>
          </cell>
          <cell r="CF69" t="e">
            <v>#REF!</v>
          </cell>
        </row>
        <row r="70">
          <cell r="A70" t="str">
            <v>JE#  T115  Group Insurance</v>
          </cell>
          <cell r="B70" t="str">
            <v>T115</v>
          </cell>
          <cell r="C70" t="str">
            <v>A7.50</v>
          </cell>
          <cell r="D70" t="str">
            <v>TB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 t="str">
            <v>CF OK</v>
          </cell>
          <cell r="BU70">
            <v>0</v>
          </cell>
          <cell r="CC70">
            <v>0</v>
          </cell>
          <cell r="CE70">
            <v>0</v>
          </cell>
          <cell r="CF70" t="e">
            <v>#REF!</v>
          </cell>
        </row>
        <row r="71">
          <cell r="A71" t="str">
            <v>JE#  T122  Incentive Plan (Incen 3)</v>
          </cell>
          <cell r="B71" t="str">
            <v>T122</v>
          </cell>
          <cell r="C71" t="str">
            <v>A9.20</v>
          </cell>
          <cell r="D71" t="str">
            <v>Separate Schedule - G</v>
          </cell>
          <cell r="F71">
            <v>1630092.8499999978</v>
          </cell>
          <cell r="G71">
            <v>-1175522.94</v>
          </cell>
          <cell r="H71">
            <v>0</v>
          </cell>
          <cell r="I71">
            <v>112341</v>
          </cell>
          <cell r="J71">
            <v>-57993.590000000026</v>
          </cell>
          <cell r="K71">
            <v>69114</v>
          </cell>
          <cell r="L71">
            <v>-123730.18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-186259.26000000007</v>
          </cell>
          <cell r="S71">
            <v>-7605.3899999999994</v>
          </cell>
          <cell r="T71">
            <v>-2029837.56</v>
          </cell>
          <cell r="U71">
            <v>69560.210000000021</v>
          </cell>
          <cell r="V71">
            <v>-23907.53</v>
          </cell>
          <cell r="W71">
            <v>-31264.780000000028</v>
          </cell>
          <cell r="X71">
            <v>0</v>
          </cell>
          <cell r="Y71">
            <v>0</v>
          </cell>
          <cell r="Z71">
            <v>321529.58999999997</v>
          </cell>
          <cell r="AA71">
            <v>-2460.4000000000233</v>
          </cell>
          <cell r="AB71">
            <v>18763.599999999977</v>
          </cell>
          <cell r="AC71">
            <v>-8576.75</v>
          </cell>
          <cell r="AD71">
            <v>584981.07000000007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143778.3200000003</v>
          </cell>
          <cell r="AJ71">
            <v>0</v>
          </cell>
          <cell r="AK71">
            <v>-105639.22999999998</v>
          </cell>
          <cell r="AL71">
            <v>3351</v>
          </cell>
          <cell r="AM71">
            <v>0</v>
          </cell>
          <cell r="AN71">
            <v>-19604.039999999994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-22</v>
          </cell>
          <cell r="BA71">
            <v>76556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I71">
            <v>20048.140000000305</v>
          </cell>
          <cell r="BJ71">
            <v>-1175522.94</v>
          </cell>
          <cell r="BK71">
            <v>112341</v>
          </cell>
          <cell r="BL71">
            <v>76534</v>
          </cell>
          <cell r="BM71">
            <v>224243.78999999777</v>
          </cell>
          <cell r="BN71">
            <v>-742356.01000000187</v>
          </cell>
          <cell r="BO71">
            <v>0</v>
          </cell>
          <cell r="BP71">
            <v>-742356.01000000187</v>
          </cell>
          <cell r="BQ71">
            <v>3351</v>
          </cell>
          <cell r="BR71">
            <v>-745707.01000000187</v>
          </cell>
          <cell r="BS71" t="str">
            <v>CF OK</v>
          </cell>
          <cell r="BU71">
            <v>0</v>
          </cell>
          <cell r="CC71">
            <v>0</v>
          </cell>
          <cell r="CE71">
            <v>-742356.01000000187</v>
          </cell>
          <cell r="CF71" t="e">
            <v>#REF!</v>
          </cell>
        </row>
        <row r="72">
          <cell r="A72" t="str">
            <v>JE#  T124  Incentive Plan (Incent 5)</v>
          </cell>
          <cell r="B72" t="str">
            <v>T124</v>
          </cell>
          <cell r="C72" t="str">
            <v>A9.10</v>
          </cell>
          <cell r="D72" t="str">
            <v>Separate Schedule - 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 t="str">
            <v>CF OK</v>
          </cell>
          <cell r="BU72">
            <v>0</v>
          </cell>
          <cell r="CC72">
            <v>0</v>
          </cell>
          <cell r="CE72">
            <v>0</v>
          </cell>
          <cell r="CF72" t="e">
            <v>#REF!</v>
          </cell>
        </row>
        <row r="73">
          <cell r="A73" t="str">
            <v>JE#  T130  Regulatory Pension (Pension 1)</v>
          </cell>
          <cell r="B73" t="str">
            <v>T130</v>
          </cell>
          <cell r="C73" t="str">
            <v>A5.10</v>
          </cell>
          <cell r="D73" t="str">
            <v>Separate Schedule - H</v>
          </cell>
          <cell r="F73">
            <v>-7138070.2100000009</v>
          </cell>
          <cell r="G73">
            <v>-5177214.5099999979</v>
          </cell>
          <cell r="H73">
            <v>0</v>
          </cell>
          <cell r="I73">
            <v>0</v>
          </cell>
          <cell r="J73">
            <v>-737515.89000000036</v>
          </cell>
          <cell r="K73">
            <v>2187672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-654578.40999999992</v>
          </cell>
          <cell r="S73">
            <v>2975.7600000000093</v>
          </cell>
          <cell r="T73">
            <v>365558.94000000134</v>
          </cell>
          <cell r="U73">
            <v>30804.610000000102</v>
          </cell>
          <cell r="V73">
            <v>-411095.91000000015</v>
          </cell>
          <cell r="W73">
            <v>200024.77000000048</v>
          </cell>
          <cell r="X73">
            <v>0</v>
          </cell>
          <cell r="Y73">
            <v>0</v>
          </cell>
          <cell r="Z73">
            <v>-2366474.58</v>
          </cell>
          <cell r="AA73">
            <v>-958852.0999999987</v>
          </cell>
          <cell r="AB73">
            <v>-77359.60999999987</v>
          </cell>
          <cell r="AC73">
            <v>-39539.30999999999</v>
          </cell>
          <cell r="AD73">
            <v>-3027570.9099999983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463895.72000000003</v>
          </cell>
          <cell r="AJ73">
            <v>0</v>
          </cell>
          <cell r="AK73">
            <v>1655854.4899999993</v>
          </cell>
          <cell r="AL73">
            <v>-244080</v>
          </cell>
          <cell r="AM73">
            <v>0</v>
          </cell>
          <cell r="AN73">
            <v>-91882.38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-66618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-1828771</v>
          </cell>
          <cell r="BI73">
            <v>463895.72000000003</v>
          </cell>
          <cell r="BJ73">
            <v>-5177214.5099999979</v>
          </cell>
          <cell r="BK73">
            <v>0</v>
          </cell>
          <cell r="BL73">
            <v>-66618</v>
          </cell>
          <cell r="BM73">
            <v>-13132899.74</v>
          </cell>
          <cell r="BN73">
            <v>-17912836.529999997</v>
          </cell>
          <cell r="BO73">
            <v>0</v>
          </cell>
          <cell r="BP73">
            <v>-17912836.529999997</v>
          </cell>
          <cell r="BQ73">
            <v>-244080</v>
          </cell>
          <cell r="BR73">
            <v>-17668756.529999997</v>
          </cell>
          <cell r="BS73" t="str">
            <v>CF OK</v>
          </cell>
          <cell r="BU73">
            <v>0</v>
          </cell>
          <cell r="CC73">
            <v>0</v>
          </cell>
          <cell r="CE73">
            <v>-17912836.529999997</v>
          </cell>
          <cell r="CF73" t="e">
            <v>#REF!</v>
          </cell>
        </row>
        <row r="74">
          <cell r="A74" t="str">
            <v>JE#  T131  Regulatory Pension (Pension 2)</v>
          </cell>
          <cell r="B74" t="str">
            <v>T131</v>
          </cell>
          <cell r="C74" t="str">
            <v>A5.20</v>
          </cell>
          <cell r="D74" t="str">
            <v>Separate Schedule - H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 t="str">
            <v>CF OK</v>
          </cell>
          <cell r="BU74">
            <v>0</v>
          </cell>
          <cell r="CC74">
            <v>0</v>
          </cell>
          <cell r="CE74">
            <v>0</v>
          </cell>
          <cell r="CF74" t="e">
            <v>#REF!</v>
          </cell>
        </row>
        <row r="75">
          <cell r="A75" t="str">
            <v>JE#  T132  Regulatory Pension (Pension 3)</v>
          </cell>
          <cell r="B75" t="str">
            <v>T132</v>
          </cell>
          <cell r="C75" t="str">
            <v>A5.10</v>
          </cell>
          <cell r="D75" t="str">
            <v>Separate Schedule - H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 t="str">
            <v>CF OK</v>
          </cell>
          <cell r="BU75">
            <v>0</v>
          </cell>
          <cell r="CC75">
            <v>0</v>
          </cell>
          <cell r="CE75">
            <v>0</v>
          </cell>
          <cell r="CF75" t="e">
            <v>#REF!</v>
          </cell>
        </row>
        <row r="76">
          <cell r="A76" t="str">
            <v>JE#  T135  Supplemental Pension</v>
          </cell>
          <cell r="B76" t="str">
            <v>T135</v>
          </cell>
          <cell r="C76" t="str">
            <v>A5.10</v>
          </cell>
          <cell r="D76" t="str">
            <v>TB</v>
          </cell>
          <cell r="F76">
            <v>32522.42</v>
          </cell>
          <cell r="G76">
            <v>804.96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-19928.04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397.91999999999996</v>
          </cell>
          <cell r="AA76">
            <v>0</v>
          </cell>
          <cell r="AB76">
            <v>0</v>
          </cell>
          <cell r="AC76">
            <v>0</v>
          </cell>
          <cell r="AD76">
            <v>-44004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193600.1700000001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I76">
            <v>173672.13000000009</v>
          </cell>
          <cell r="BJ76">
            <v>804.96</v>
          </cell>
          <cell r="BK76">
            <v>0</v>
          </cell>
          <cell r="BL76">
            <v>0</v>
          </cell>
          <cell r="BM76">
            <v>-11083.660000000003</v>
          </cell>
          <cell r="BN76">
            <v>163393.43000000008</v>
          </cell>
          <cell r="BO76">
            <v>0</v>
          </cell>
          <cell r="BP76">
            <v>163393.43000000008</v>
          </cell>
          <cell r="BQ76">
            <v>0</v>
          </cell>
          <cell r="BR76">
            <v>163393.43000000008</v>
          </cell>
          <cell r="BS76" t="str">
            <v>CF OK</v>
          </cell>
          <cell r="BU76">
            <v>0</v>
          </cell>
          <cell r="CC76">
            <v>0</v>
          </cell>
          <cell r="CE76">
            <v>163393.43000000008</v>
          </cell>
          <cell r="CF76" t="e">
            <v>#REF!</v>
          </cell>
        </row>
        <row r="77">
          <cell r="A77" t="str">
            <v>JE#  T140  Accrued OPEB (OPEB 1)</v>
          </cell>
          <cell r="B77" t="str">
            <v>T140</v>
          </cell>
          <cell r="C77" t="str">
            <v>A3.10</v>
          </cell>
          <cell r="D77" t="str">
            <v>Separate Schedule - I</v>
          </cell>
          <cell r="F77">
            <v>5.9999999823048711E-2</v>
          </cell>
          <cell r="G77">
            <v>499071.80000000168</v>
          </cell>
          <cell r="H77">
            <v>4.0000000000190994E-2</v>
          </cell>
          <cell r="I77">
            <v>0</v>
          </cell>
          <cell r="J77">
            <v>215085.50000000047</v>
          </cell>
          <cell r="K77">
            <v>-2094870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-7.2759576141834259E-12</v>
          </cell>
          <cell r="T77">
            <v>0</v>
          </cell>
          <cell r="U77">
            <v>4.0000000037252903E-2</v>
          </cell>
          <cell r="V77">
            <v>2856.6900000000605</v>
          </cell>
          <cell r="W77">
            <v>125943.92000000016</v>
          </cell>
          <cell r="X77">
            <v>0</v>
          </cell>
          <cell r="Y77">
            <v>0</v>
          </cell>
          <cell r="Z77">
            <v>-8193.0400000000373</v>
          </cell>
          <cell r="AA77">
            <v>32985.679999999702</v>
          </cell>
          <cell r="AB77">
            <v>3.9999999979045242E-2</v>
          </cell>
          <cell r="AC77">
            <v>-4.0000000000873115E-2</v>
          </cell>
          <cell r="AD77">
            <v>608237.29000000097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-62056.149999999994</v>
          </cell>
          <cell r="AJ77">
            <v>0</v>
          </cell>
          <cell r="AK77">
            <v>425203.12999999995</v>
          </cell>
          <cell r="AL77">
            <v>7015</v>
          </cell>
          <cell r="AM77">
            <v>0</v>
          </cell>
          <cell r="AN77">
            <v>-4.0000000008149073E-2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-20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-1349303</v>
          </cell>
          <cell r="BI77">
            <v>-62056.149999999994</v>
          </cell>
          <cell r="BJ77">
            <v>499071.80000000168</v>
          </cell>
          <cell r="BK77">
            <v>4.0000000000190994E-2</v>
          </cell>
          <cell r="BL77">
            <v>-20</v>
          </cell>
          <cell r="BM77">
            <v>-2035038.7699999989</v>
          </cell>
          <cell r="BN77">
            <v>-1598043.0799999973</v>
          </cell>
          <cell r="BO77">
            <v>0</v>
          </cell>
          <cell r="BP77">
            <v>-1598043.0799999973</v>
          </cell>
          <cell r="BQ77">
            <v>7015</v>
          </cell>
          <cell r="BR77">
            <v>-1605058.0799999973</v>
          </cell>
          <cell r="BS77" t="str">
            <v>CF OK</v>
          </cell>
          <cell r="BU77">
            <v>0</v>
          </cell>
          <cell r="CC77">
            <v>0</v>
          </cell>
          <cell r="CE77">
            <v>-1598043.0799999973</v>
          </cell>
          <cell r="CF77" t="e">
            <v>#REF!</v>
          </cell>
        </row>
        <row r="78">
          <cell r="A78" t="str">
            <v>JE#  T141  Accrued OPEB (OPEB 2)</v>
          </cell>
          <cell r="B78" t="str">
            <v>T141</v>
          </cell>
          <cell r="C78" t="str">
            <v>A3.10</v>
          </cell>
          <cell r="D78" t="str">
            <v>Separate Schedule - I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 t="str">
            <v>CF OK</v>
          </cell>
          <cell r="BU78">
            <v>0</v>
          </cell>
          <cell r="CC78">
            <v>0</v>
          </cell>
          <cell r="CE78">
            <v>0</v>
          </cell>
          <cell r="CF78" t="e">
            <v>#REF!</v>
          </cell>
        </row>
        <row r="79">
          <cell r="A79" t="str">
            <v>JE#  T142  Accrued OPEB (OPEB 3)</v>
          </cell>
          <cell r="B79" t="str">
            <v>T142</v>
          </cell>
          <cell r="C79" t="str">
            <v>A3.11</v>
          </cell>
          <cell r="D79" t="str">
            <v>Separate Schedule - I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 t="str">
            <v>CF OK</v>
          </cell>
          <cell r="BU79">
            <v>0</v>
          </cell>
          <cell r="CC79">
            <v>0</v>
          </cell>
          <cell r="CE79">
            <v>0</v>
          </cell>
          <cell r="CF79" t="e">
            <v>#REF!</v>
          </cell>
        </row>
        <row r="80">
          <cell r="A80" t="str">
            <v>JE#  T145  AFUDC (AFUDC 1)</v>
          </cell>
          <cell r="B80" t="str">
            <v>T145</v>
          </cell>
          <cell r="C80" t="str">
            <v>L1.10</v>
          </cell>
          <cell r="D80" t="str">
            <v>TB</v>
          </cell>
          <cell r="F80">
            <v>0</v>
          </cell>
          <cell r="G80">
            <v>-8720504.4099999983</v>
          </cell>
          <cell r="H80">
            <v>0</v>
          </cell>
          <cell r="I80">
            <v>0</v>
          </cell>
          <cell r="J80">
            <v>-703762.66999999993</v>
          </cell>
          <cell r="K80">
            <v>-40449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-948474.27</v>
          </cell>
          <cell r="S80">
            <v>-32952.47</v>
          </cell>
          <cell r="T80">
            <v>-839640.67999999993</v>
          </cell>
          <cell r="U80">
            <v>-418343.60699999996</v>
          </cell>
          <cell r="V80">
            <v>17276.28</v>
          </cell>
          <cell r="W80">
            <v>-1538414.2400000002</v>
          </cell>
          <cell r="X80">
            <v>0</v>
          </cell>
          <cell r="Y80">
            <v>0</v>
          </cell>
          <cell r="Z80">
            <v>-772785.19</v>
          </cell>
          <cell r="AA80">
            <v>-2239336.9300000002</v>
          </cell>
          <cell r="AB80">
            <v>-685503.35</v>
          </cell>
          <cell r="AC80">
            <v>4126.25</v>
          </cell>
          <cell r="AD80">
            <v>-2750191.47</v>
          </cell>
          <cell r="AE80">
            <v>884.59</v>
          </cell>
          <cell r="AF80">
            <v>-24205.47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-1966900.8599999999</v>
          </cell>
          <cell r="AL80">
            <v>0</v>
          </cell>
          <cell r="AM80">
            <v>0</v>
          </cell>
          <cell r="AN80">
            <v>-13884.599999999991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I80">
            <v>0</v>
          </cell>
          <cell r="BJ80">
            <v>-8720504.4099999983</v>
          </cell>
          <cell r="BK80">
            <v>0</v>
          </cell>
          <cell r="BL80">
            <v>0</v>
          </cell>
          <cell r="BM80">
            <v>-12952557.686999999</v>
          </cell>
          <cell r="BN80">
            <v>-21673062.096999995</v>
          </cell>
          <cell r="BO80">
            <v>0</v>
          </cell>
          <cell r="BP80">
            <v>-21673062.096999995</v>
          </cell>
          <cell r="BQ80">
            <v>884.59</v>
          </cell>
          <cell r="BR80">
            <v>-21673946.686999995</v>
          </cell>
          <cell r="BS80" t="str">
            <v>CF OK</v>
          </cell>
          <cell r="BU80">
            <v>0</v>
          </cell>
          <cell r="CC80">
            <v>0</v>
          </cell>
          <cell r="CE80">
            <v>-21673062.096999995</v>
          </cell>
          <cell r="CF80" t="e">
            <v>#REF!</v>
          </cell>
        </row>
        <row r="81">
          <cell r="A81" t="str">
            <v>JE#  T146  AFUDC - Equity CWIP (AFUDC 2)</v>
          </cell>
          <cell r="B81" t="str">
            <v>T146</v>
          </cell>
          <cell r="C81" t="str">
            <v>L5.50</v>
          </cell>
          <cell r="D81" t="str">
            <v>TB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 t="str">
            <v>CF OK</v>
          </cell>
          <cell r="BU81">
            <v>0</v>
          </cell>
          <cell r="CC81">
            <v>0</v>
          </cell>
          <cell r="CE81">
            <v>0</v>
          </cell>
          <cell r="CF81" t="e">
            <v>#REF!</v>
          </cell>
        </row>
        <row r="82">
          <cell r="A82" t="str">
            <v>JE#  T147  Amortization of Regulatory Asset (AFUDC 3)</v>
          </cell>
          <cell r="B82" t="str">
            <v>T147</v>
          </cell>
          <cell r="C82" t="str">
            <v>L5.51</v>
          </cell>
          <cell r="D82" t="str">
            <v>TB</v>
          </cell>
          <cell r="F82">
            <v>0</v>
          </cell>
          <cell r="G82">
            <v>404156.04</v>
          </cell>
          <cell r="H82">
            <v>0</v>
          </cell>
          <cell r="I82">
            <v>0</v>
          </cell>
          <cell r="J82">
            <v>15592.56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134281.56</v>
          </cell>
          <cell r="S82">
            <v>4072.92</v>
          </cell>
          <cell r="T82">
            <v>130189.68</v>
          </cell>
          <cell r="U82">
            <v>28191</v>
          </cell>
          <cell r="V82">
            <v>6509.03</v>
          </cell>
          <cell r="W82">
            <v>181599.35999999999</v>
          </cell>
          <cell r="X82">
            <v>0</v>
          </cell>
          <cell r="Y82">
            <v>0</v>
          </cell>
          <cell r="Z82">
            <v>70713.960000000006</v>
          </cell>
          <cell r="AA82">
            <v>225060.36</v>
          </cell>
          <cell r="AB82">
            <v>60595.8</v>
          </cell>
          <cell r="AC82">
            <v>0</v>
          </cell>
          <cell r="AD82">
            <v>119567.16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19237.2</v>
          </cell>
          <cell r="AL82">
            <v>463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I82">
            <v>0</v>
          </cell>
          <cell r="BJ82">
            <v>404156.04</v>
          </cell>
          <cell r="BK82">
            <v>0</v>
          </cell>
          <cell r="BL82">
            <v>0</v>
          </cell>
          <cell r="BM82">
            <v>996073.59</v>
          </cell>
          <cell r="BN82">
            <v>1400229.63</v>
          </cell>
          <cell r="BO82">
            <v>0</v>
          </cell>
          <cell r="BP82">
            <v>1400229.63</v>
          </cell>
          <cell r="BQ82">
            <v>463</v>
          </cell>
          <cell r="BR82">
            <v>1399766.63</v>
          </cell>
          <cell r="BS82" t="str">
            <v>CF OK</v>
          </cell>
          <cell r="BU82">
            <v>0</v>
          </cell>
          <cell r="CC82">
            <v>0</v>
          </cell>
          <cell r="CE82">
            <v>1400229.63</v>
          </cell>
          <cell r="CF82" t="e">
            <v>#REF!</v>
          </cell>
        </row>
        <row r="83">
          <cell r="A83" t="str">
            <v>JE#  T150  Post AFUDC (P AFUDC 1)</v>
          </cell>
          <cell r="B83" t="str">
            <v>T150</v>
          </cell>
          <cell r="C83" t="str">
            <v>L1.10</v>
          </cell>
          <cell r="D83" t="str">
            <v>TB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 t="str">
            <v>CF OK</v>
          </cell>
          <cell r="BU83">
            <v>0</v>
          </cell>
          <cell r="CC83">
            <v>0</v>
          </cell>
          <cell r="CE83">
            <v>0</v>
          </cell>
          <cell r="CF83" t="e">
            <v>#REF!</v>
          </cell>
        </row>
        <row r="84">
          <cell r="A84" t="str">
            <v>JE#  T151  Amortization of Post In-Service AFUDC (P AFUDC 2)</v>
          </cell>
          <cell r="B84" t="str">
            <v>T151</v>
          </cell>
          <cell r="C84" t="str">
            <v>L1.34</v>
          </cell>
          <cell r="D84" t="str">
            <v>TB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 t="str">
            <v>CF OK</v>
          </cell>
          <cell r="BU84">
            <v>0</v>
          </cell>
          <cell r="CC84">
            <v>0</v>
          </cell>
          <cell r="CE84">
            <v>0</v>
          </cell>
          <cell r="CF84" t="e">
            <v>#REF!</v>
          </cell>
        </row>
        <row r="85">
          <cell r="A85" t="str">
            <v>JE#  T152  Pavement Repairs</v>
          </cell>
          <cell r="B85" t="str">
            <v>T152</v>
          </cell>
          <cell r="C85" t="str">
            <v>L1.10</v>
          </cell>
          <cell r="D85" t="str">
            <v>TB</v>
          </cell>
          <cell r="F85">
            <v>0</v>
          </cell>
          <cell r="G85">
            <v>61950.96</v>
          </cell>
          <cell r="H85">
            <v>0</v>
          </cell>
          <cell r="I85">
            <v>0</v>
          </cell>
          <cell r="J85">
            <v>63136.959999999999</v>
          </cell>
          <cell r="K85">
            <v>0</v>
          </cell>
          <cell r="L85">
            <v>0</v>
          </cell>
          <cell r="M85">
            <v>-27771</v>
          </cell>
          <cell r="N85">
            <v>-33136</v>
          </cell>
          <cell r="O85">
            <v>0</v>
          </cell>
          <cell r="P85">
            <v>0</v>
          </cell>
          <cell r="Q85">
            <v>0</v>
          </cell>
          <cell r="R85">
            <v>18219.740000000002</v>
          </cell>
          <cell r="S85">
            <v>3400</v>
          </cell>
          <cell r="T85">
            <v>255103.81</v>
          </cell>
          <cell r="U85">
            <v>50844.84</v>
          </cell>
          <cell r="V85">
            <v>63814.62</v>
          </cell>
          <cell r="W85">
            <v>23281.1</v>
          </cell>
          <cell r="X85">
            <v>0</v>
          </cell>
          <cell r="Y85">
            <v>0</v>
          </cell>
          <cell r="Z85">
            <v>-12201.08</v>
          </cell>
          <cell r="AA85">
            <v>-36702.58</v>
          </cell>
          <cell r="AB85">
            <v>68695.37</v>
          </cell>
          <cell r="AC85">
            <v>80</v>
          </cell>
          <cell r="AD85">
            <v>382500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I85">
            <v>0</v>
          </cell>
          <cell r="BJ85">
            <v>61950.96</v>
          </cell>
          <cell r="BK85">
            <v>0</v>
          </cell>
          <cell r="BL85">
            <v>0</v>
          </cell>
          <cell r="BM85">
            <v>819265.77999999991</v>
          </cell>
          <cell r="BN85">
            <v>881216.73999999987</v>
          </cell>
          <cell r="BO85">
            <v>0</v>
          </cell>
          <cell r="BP85">
            <v>881216.73999999987</v>
          </cell>
          <cell r="BQ85">
            <v>0</v>
          </cell>
          <cell r="BR85">
            <v>881216.73999999987</v>
          </cell>
          <cell r="BS85" t="str">
            <v>CF OK</v>
          </cell>
          <cell r="BU85">
            <v>0</v>
          </cell>
          <cell r="CC85">
            <v>0</v>
          </cell>
          <cell r="CE85">
            <v>881216.73999999987</v>
          </cell>
          <cell r="CF85" t="e">
            <v>#REF!</v>
          </cell>
        </row>
        <row r="86">
          <cell r="A86" t="str">
            <v>JE#  T160  Deferred Maintenance (Maint 1)</v>
          </cell>
          <cell r="B86" t="str">
            <v>T160</v>
          </cell>
          <cell r="C86" t="str">
            <v>L5.10</v>
          </cell>
          <cell r="D86" t="str">
            <v>TB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32884.080000000002</v>
          </cell>
          <cell r="K86">
            <v>50845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-418674.62</v>
          </cell>
          <cell r="S86">
            <v>0</v>
          </cell>
          <cell r="T86">
            <v>0</v>
          </cell>
          <cell r="U86">
            <v>0</v>
          </cell>
          <cell r="V86">
            <v>-180343.77</v>
          </cell>
          <cell r="W86">
            <v>-608085.18000000005</v>
          </cell>
          <cell r="X86">
            <v>0</v>
          </cell>
          <cell r="Y86">
            <v>0</v>
          </cell>
          <cell r="Z86">
            <v>-426146.84</v>
          </cell>
          <cell r="AA86">
            <v>10770.48</v>
          </cell>
          <cell r="AB86">
            <v>313791.45</v>
          </cell>
          <cell r="AC86">
            <v>0</v>
          </cell>
          <cell r="AD86">
            <v>-537167.71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-123855.06</v>
          </cell>
          <cell r="AL86">
            <v>0</v>
          </cell>
          <cell r="AM86">
            <v>0</v>
          </cell>
          <cell r="AN86">
            <v>68331.12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-1817651.0500000003</v>
          </cell>
          <cell r="BN86">
            <v>-1817651.0500000003</v>
          </cell>
          <cell r="BO86">
            <v>0</v>
          </cell>
          <cell r="BP86">
            <v>-1817651.0500000003</v>
          </cell>
          <cell r="BQ86">
            <v>0</v>
          </cell>
          <cell r="BR86">
            <v>-1817651.0500000003</v>
          </cell>
          <cell r="BS86" t="str">
            <v>CF OK</v>
          </cell>
          <cell r="BU86">
            <v>0</v>
          </cell>
          <cell r="CC86">
            <v>0</v>
          </cell>
          <cell r="CE86">
            <v>-1817651.0500000003</v>
          </cell>
          <cell r="CF86" t="e">
            <v>#REF!</v>
          </cell>
        </row>
        <row r="87">
          <cell r="A87" t="str">
            <v>JE#  T161  Deferred Maintenance (Maint 2)</v>
          </cell>
          <cell r="B87" t="str">
            <v>T161</v>
          </cell>
          <cell r="C87" t="str">
            <v>A7.60</v>
          </cell>
          <cell r="D87" t="str">
            <v>TB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-135471.93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-397718.31</v>
          </cell>
          <cell r="AL87">
            <v>-24131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-557321.24</v>
          </cell>
          <cell r="BN87">
            <v>-557321.24</v>
          </cell>
          <cell r="BO87">
            <v>0</v>
          </cell>
          <cell r="BP87">
            <v>-557321.24</v>
          </cell>
          <cell r="BQ87">
            <v>-24131</v>
          </cell>
          <cell r="BR87">
            <v>-533190.24</v>
          </cell>
          <cell r="BS87" t="str">
            <v>CF OK</v>
          </cell>
          <cell r="BU87">
            <v>0</v>
          </cell>
          <cell r="CC87">
            <v>0</v>
          </cell>
          <cell r="CE87">
            <v>-557321.24</v>
          </cell>
          <cell r="CF87" t="e">
            <v>#REF!</v>
          </cell>
        </row>
        <row r="88">
          <cell r="A88" t="str">
            <v>JE#  T165  Miscellaneous Deferred Debits (Misc 1)</v>
          </cell>
          <cell r="B88" t="str">
            <v>T165</v>
          </cell>
          <cell r="C88" t="str">
            <v>L5.10</v>
          </cell>
          <cell r="D88" t="str">
            <v>TB</v>
          </cell>
          <cell r="F88">
            <v>0</v>
          </cell>
          <cell r="G88">
            <v>-2656988.33</v>
          </cell>
          <cell r="H88">
            <v>0</v>
          </cell>
          <cell r="I88">
            <v>0</v>
          </cell>
          <cell r="J88">
            <v>-1045772.25</v>
          </cell>
          <cell r="K88">
            <v>-1251247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57080.04</v>
          </cell>
          <cell r="S88">
            <v>44665.919999999998</v>
          </cell>
          <cell r="T88">
            <v>50477.52</v>
          </cell>
          <cell r="U88">
            <v>0</v>
          </cell>
          <cell r="V88">
            <v>580916.94999999995</v>
          </cell>
          <cell r="W88">
            <v>61538.559999999998</v>
          </cell>
          <cell r="X88">
            <v>0</v>
          </cell>
          <cell r="Y88">
            <v>0</v>
          </cell>
          <cell r="Z88">
            <v>-165161.59999999998</v>
          </cell>
          <cell r="AA88">
            <v>-2473512.9</v>
          </cell>
          <cell r="AB88">
            <v>0</v>
          </cell>
          <cell r="AC88">
            <v>0</v>
          </cell>
          <cell r="AD88">
            <v>160705.07999999999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-2048140.91</v>
          </cell>
          <cell r="AJ88">
            <v>0</v>
          </cell>
          <cell r="AK88">
            <v>-12116254.900000004</v>
          </cell>
          <cell r="AL88">
            <v>-5401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I88">
            <v>-2048140.91</v>
          </cell>
          <cell r="BJ88">
            <v>-2656988.33</v>
          </cell>
          <cell r="BK88">
            <v>0</v>
          </cell>
          <cell r="BL88">
            <v>0</v>
          </cell>
          <cell r="BM88">
            <v>-16101965.580000004</v>
          </cell>
          <cell r="BN88">
            <v>-20807094.820000004</v>
          </cell>
          <cell r="BO88">
            <v>0</v>
          </cell>
          <cell r="BP88">
            <v>-20807094.820000004</v>
          </cell>
          <cell r="BQ88">
            <v>-5401</v>
          </cell>
          <cell r="BR88">
            <v>-20801693.820000004</v>
          </cell>
          <cell r="BS88" t="str">
            <v>CF OK</v>
          </cell>
          <cell r="BU88">
            <v>0</v>
          </cell>
          <cell r="CC88">
            <v>0</v>
          </cell>
          <cell r="CE88">
            <v>-20807094.820000004</v>
          </cell>
          <cell r="CF88" t="e">
            <v>#REF!</v>
          </cell>
        </row>
        <row r="89">
          <cell r="A89" t="str">
            <v>JE#  T166  Miscellaneous Deferred Credits (Misc 2)</v>
          </cell>
          <cell r="B89" t="str">
            <v>T166</v>
          </cell>
          <cell r="C89" t="str">
            <v>A7.50</v>
          </cell>
          <cell r="D89" t="str">
            <v>TB</v>
          </cell>
          <cell r="F89">
            <v>65417.729999999996</v>
          </cell>
          <cell r="G89">
            <v>125946.28999999998</v>
          </cell>
          <cell r="H89">
            <v>0</v>
          </cell>
          <cell r="I89">
            <v>0</v>
          </cell>
          <cell r="J89">
            <v>-3502374.5</v>
          </cell>
          <cell r="K89">
            <v>797699</v>
          </cell>
          <cell r="L89">
            <v>0</v>
          </cell>
          <cell r="M89">
            <v>0</v>
          </cell>
          <cell r="N89">
            <v>0</v>
          </cell>
          <cell r="O89">
            <v>-1648667</v>
          </cell>
          <cell r="P89">
            <v>0</v>
          </cell>
          <cell r="Q89">
            <v>0</v>
          </cell>
          <cell r="R89">
            <v>-73363.239999999991</v>
          </cell>
          <cell r="S89">
            <v>7636.34</v>
          </cell>
          <cell r="T89">
            <v>1184626.2399999998</v>
          </cell>
          <cell r="U89">
            <v>-383406.37999999995</v>
          </cell>
          <cell r="V89">
            <v>439166.42000000004</v>
          </cell>
          <cell r="W89">
            <v>-143924.78</v>
          </cell>
          <cell r="X89">
            <v>0</v>
          </cell>
          <cell r="Y89">
            <v>0</v>
          </cell>
          <cell r="Z89">
            <v>1861740.05</v>
          </cell>
          <cell r="AA89">
            <v>932205.66</v>
          </cell>
          <cell r="AB89">
            <v>104382.33</v>
          </cell>
          <cell r="AC89">
            <v>0</v>
          </cell>
          <cell r="AD89">
            <v>1119942.24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1261307</v>
          </cell>
          <cell r="AJ89">
            <v>0</v>
          </cell>
          <cell r="AK89">
            <v>-1511762.5899999999</v>
          </cell>
          <cell r="AL89">
            <v>0</v>
          </cell>
          <cell r="AM89">
            <v>0</v>
          </cell>
          <cell r="AN89">
            <v>-0.01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624161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I89">
            <v>1261307</v>
          </cell>
          <cell r="BJ89">
            <v>125946.28999999998</v>
          </cell>
          <cell r="BK89">
            <v>0</v>
          </cell>
          <cell r="BL89">
            <v>-1024506</v>
          </cell>
          <cell r="BM89">
            <v>897984.51000000047</v>
          </cell>
          <cell r="BN89">
            <v>1260731.8000000005</v>
          </cell>
          <cell r="BO89">
            <v>0</v>
          </cell>
          <cell r="BP89">
            <v>1260731.8000000005</v>
          </cell>
          <cell r="BQ89">
            <v>0</v>
          </cell>
          <cell r="BR89">
            <v>1260731.8000000005</v>
          </cell>
          <cell r="BS89" t="str">
            <v>CF OK</v>
          </cell>
          <cell r="BU89">
            <v>0</v>
          </cell>
          <cell r="CC89">
            <v>0</v>
          </cell>
          <cell r="CE89">
            <v>1260731.8000000005</v>
          </cell>
          <cell r="CF89" t="e">
            <v>#REF!</v>
          </cell>
        </row>
        <row r="90">
          <cell r="A90" t="str">
            <v>JE#  T167  Miscellaneous Deferred Credits (Misc 3)</v>
          </cell>
          <cell r="B90" t="str">
            <v>T167</v>
          </cell>
          <cell r="C90" t="str">
            <v>A7.50</v>
          </cell>
          <cell r="D90" t="str">
            <v>TB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 t="str">
            <v>CF OK</v>
          </cell>
          <cell r="BU90">
            <v>0</v>
          </cell>
          <cell r="CC90">
            <v>0</v>
          </cell>
          <cell r="CE90">
            <v>0</v>
          </cell>
          <cell r="CF90" t="e">
            <v>#REF!</v>
          </cell>
        </row>
        <row r="91">
          <cell r="A91" t="str">
            <v>JE#  T170  Deferred Revenue</v>
          </cell>
          <cell r="B91" t="str">
            <v>T170</v>
          </cell>
          <cell r="C91" t="str">
            <v>L5.10</v>
          </cell>
          <cell r="D91" t="str">
            <v>TB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-390911</v>
          </cell>
          <cell r="BA91">
            <v>-8982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-399893</v>
          </cell>
          <cell r="BM91">
            <v>0</v>
          </cell>
          <cell r="BN91">
            <v>-399893</v>
          </cell>
          <cell r="BO91">
            <v>0</v>
          </cell>
          <cell r="BP91">
            <v>-399893</v>
          </cell>
          <cell r="BQ91">
            <v>0</v>
          </cell>
          <cell r="BR91">
            <v>-399893</v>
          </cell>
          <cell r="BS91" t="str">
            <v>CF OK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</row>
        <row r="92">
          <cell r="A92" t="str">
            <v>JE#  T175  Premium amortization</v>
          </cell>
          <cell r="B92" t="str">
            <v>T175</v>
          </cell>
          <cell r="C92" t="str">
            <v>L2.33</v>
          </cell>
          <cell r="D92" t="str">
            <v>TB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 t="str">
            <v>CF OK</v>
          </cell>
          <cell r="BU92">
            <v>0</v>
          </cell>
          <cell r="CC92">
            <v>0</v>
          </cell>
          <cell r="CE92">
            <v>0</v>
          </cell>
          <cell r="CF92" t="e">
            <v>#REF!</v>
          </cell>
        </row>
        <row r="93">
          <cell r="A93" t="str">
            <v>JE#  T180  Insurance Other than Group</v>
          </cell>
          <cell r="B93" t="str">
            <v>T180</v>
          </cell>
          <cell r="C93" t="str">
            <v>A7.60</v>
          </cell>
          <cell r="D93" t="str">
            <v>TB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6662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6662</v>
          </cell>
          <cell r="BM93">
            <v>0</v>
          </cell>
          <cell r="BN93">
            <v>6662</v>
          </cell>
          <cell r="BO93">
            <v>0</v>
          </cell>
          <cell r="BP93">
            <v>6662</v>
          </cell>
          <cell r="BQ93">
            <v>0</v>
          </cell>
          <cell r="BR93">
            <v>6662</v>
          </cell>
          <cell r="BS93" t="str">
            <v>CF OK</v>
          </cell>
          <cell r="BU93">
            <v>0</v>
          </cell>
          <cell r="CC93">
            <v>0</v>
          </cell>
          <cell r="CE93">
            <v>6662</v>
          </cell>
          <cell r="CF93" t="e">
            <v>#REF!</v>
          </cell>
        </row>
        <row r="94">
          <cell r="A94" t="str">
            <v>JE#  T185  Deferred Security Costs</v>
          </cell>
          <cell r="B94" t="str">
            <v>T185</v>
          </cell>
          <cell r="C94" t="str">
            <v>L6.00</v>
          </cell>
          <cell r="D94" t="str">
            <v>TB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1664074.92</v>
          </cell>
          <cell r="U94">
            <v>0</v>
          </cell>
          <cell r="V94">
            <v>0</v>
          </cell>
          <cell r="W94">
            <v>437129.76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495726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2596930.6799999997</v>
          </cell>
          <cell r="BN94">
            <v>2596930.6799999997</v>
          </cell>
          <cell r="BO94">
            <v>0</v>
          </cell>
          <cell r="BP94">
            <v>2596930.6799999997</v>
          </cell>
          <cell r="BQ94">
            <v>0</v>
          </cell>
          <cell r="BR94">
            <v>2596930.6799999997</v>
          </cell>
          <cell r="BS94" t="str">
            <v>CF OK</v>
          </cell>
          <cell r="BU94">
            <v>0</v>
          </cell>
          <cell r="CC94">
            <v>0</v>
          </cell>
          <cell r="CE94">
            <v>2596930.6799999997</v>
          </cell>
          <cell r="CF94" t="e">
            <v>#REF!</v>
          </cell>
        </row>
        <row r="95">
          <cell r="A95" t="str">
            <v>JE#  T186  Deferred Customer Service Center Costs</v>
          </cell>
          <cell r="B95" t="str">
            <v>T186</v>
          </cell>
          <cell r="C95" t="str">
            <v>L7.00</v>
          </cell>
          <cell r="D95" t="str">
            <v>TB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98111.64</v>
          </cell>
          <cell r="V95">
            <v>0</v>
          </cell>
          <cell r="W95">
            <v>-0.04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21865.200000000001</v>
          </cell>
          <cell r="AC95">
            <v>0</v>
          </cell>
          <cell r="AD95">
            <v>93304.08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213280.88</v>
          </cell>
          <cell r="BN95">
            <v>213280.88</v>
          </cell>
          <cell r="BO95">
            <v>0</v>
          </cell>
          <cell r="BP95">
            <v>213280.88</v>
          </cell>
          <cell r="BQ95">
            <v>0</v>
          </cell>
          <cell r="BR95">
            <v>213280.88</v>
          </cell>
          <cell r="BS95" t="str">
            <v>CF OK</v>
          </cell>
          <cell r="BU95">
            <v>0</v>
          </cell>
          <cell r="CC95">
            <v>0</v>
          </cell>
          <cell r="CE95">
            <v>213280.88</v>
          </cell>
          <cell r="CF95" t="e">
            <v>#REF!</v>
          </cell>
        </row>
        <row r="96">
          <cell r="A96" t="str">
            <v>JE#  T187  Deferred Financial Services Costs</v>
          </cell>
          <cell r="B96" t="str">
            <v>T187</v>
          </cell>
          <cell r="C96" t="str">
            <v>L7.00</v>
          </cell>
          <cell r="D96" t="str">
            <v>TB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36760.32</v>
          </cell>
          <cell r="V96">
            <v>0</v>
          </cell>
          <cell r="W96">
            <v>180669.84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40588.44</v>
          </cell>
          <cell r="AC96">
            <v>0</v>
          </cell>
          <cell r="AD96">
            <v>77956.92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335975.52</v>
          </cell>
          <cell r="BN96">
            <v>335975.52</v>
          </cell>
          <cell r="BO96">
            <v>0</v>
          </cell>
          <cell r="BP96">
            <v>335975.52</v>
          </cell>
          <cell r="BQ96">
            <v>0</v>
          </cell>
          <cell r="BR96">
            <v>335975.52</v>
          </cell>
          <cell r="BS96" t="str">
            <v>CF OK</v>
          </cell>
          <cell r="BU96">
            <v>0</v>
          </cell>
          <cell r="CC96">
            <v>0</v>
          </cell>
          <cell r="CE96">
            <v>335975.52</v>
          </cell>
          <cell r="CF96" t="e">
            <v>#REF!</v>
          </cell>
        </row>
        <row r="97">
          <cell r="A97" t="str">
            <v>JE#  T190  Deferred Business Change Costs</v>
          </cell>
          <cell r="B97" t="str">
            <v>T190</v>
          </cell>
          <cell r="C97" t="str">
            <v>L8.00</v>
          </cell>
          <cell r="D97" t="str">
            <v>TB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 t="str">
            <v>CF OK</v>
          </cell>
          <cell r="BU97">
            <v>0</v>
          </cell>
          <cell r="CC97">
            <v>0</v>
          </cell>
          <cell r="CE97">
            <v>0</v>
          </cell>
          <cell r="CF97" t="e">
            <v>#REF!</v>
          </cell>
        </row>
        <row r="98">
          <cell r="A98" t="str">
            <v>JE#  T191  Deferred IMO Costs</v>
          </cell>
          <cell r="B98" t="str">
            <v>T191</v>
          </cell>
          <cell r="C98" t="str">
            <v>L8.00</v>
          </cell>
          <cell r="D98" t="str">
            <v>TB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 t="str">
            <v>CF OK</v>
          </cell>
          <cell r="BU98">
            <v>0</v>
          </cell>
          <cell r="CC98">
            <v>0</v>
          </cell>
          <cell r="CE98">
            <v>0</v>
          </cell>
          <cell r="CF98" t="e">
            <v>#REF!</v>
          </cell>
        </row>
        <row r="99">
          <cell r="A99" t="str">
            <v>JE#  T200  Transaction Costs</v>
          </cell>
          <cell r="B99" t="str">
            <v>T200</v>
          </cell>
          <cell r="C99" t="str">
            <v>L5.10</v>
          </cell>
          <cell r="D99" t="str">
            <v>TB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 t="str">
            <v>CF OK</v>
          </cell>
          <cell r="BU99">
            <v>0</v>
          </cell>
          <cell r="CC99">
            <v>0</v>
          </cell>
          <cell r="CE99">
            <v>0</v>
          </cell>
          <cell r="CF99" t="e">
            <v>#REF!</v>
          </cell>
        </row>
        <row r="100">
          <cell r="A100" t="str">
            <v>JE#  T216  Foreign Interest-267 Adjustment</v>
          </cell>
          <cell r="B100" t="str">
            <v>T216</v>
          </cell>
          <cell r="C100" t="str">
            <v>A7.60</v>
          </cell>
          <cell r="D100" t="str">
            <v>Separate Schedule - J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 t="str">
            <v>CF OK</v>
          </cell>
          <cell r="BU100">
            <v>0</v>
          </cell>
          <cell r="CC100">
            <v>0</v>
          </cell>
          <cell r="CE100">
            <v>0</v>
          </cell>
          <cell r="CF100" t="e">
            <v>#REF!</v>
          </cell>
        </row>
        <row r="101">
          <cell r="A101" t="str">
            <v>Deferred tax benefit for pro-rate portion of tax deductible Goodwill</v>
          </cell>
          <cell r="B101" t="str">
            <v>T998</v>
          </cell>
          <cell r="D101" t="str">
            <v>Separate Schedule - J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 t="str">
            <v>CF OK</v>
          </cell>
          <cell r="BU101">
            <v>0</v>
          </cell>
          <cell r="CC101">
            <v>0</v>
          </cell>
          <cell r="CE101">
            <v>0</v>
          </cell>
          <cell r="CF101" t="e">
            <v>#REF!</v>
          </cell>
        </row>
        <row r="102">
          <cell r="A102" t="str">
            <v>Add Back Maint Exp ARO/Net Neg Salvage (Acct# 675110)</v>
          </cell>
          <cell r="B102" t="str">
            <v>T050</v>
          </cell>
          <cell r="C102" t="str">
            <v>L2.10</v>
          </cell>
          <cell r="D102" t="str">
            <v>TB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 t="str">
            <v>CF OK</v>
          </cell>
          <cell r="BU102">
            <v>0</v>
          </cell>
          <cell r="CC102">
            <v>0</v>
          </cell>
          <cell r="CE102">
            <v>0</v>
          </cell>
          <cell r="CF102" t="e">
            <v>#REF!</v>
          </cell>
        </row>
        <row r="103">
          <cell r="A103" t="str">
            <v>Purchase Accounting (Separate Sch)</v>
          </cell>
          <cell r="B103" t="str">
            <v>T999</v>
          </cell>
          <cell r="D103" t="str">
            <v>Separate Schedule - J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 t="str">
            <v>CF OK</v>
          </cell>
          <cell r="BU103">
            <v>0</v>
          </cell>
          <cell r="CC103">
            <v>0</v>
          </cell>
          <cell r="CE103">
            <v>0</v>
          </cell>
          <cell r="CF103" t="e">
            <v>#REF!</v>
          </cell>
        </row>
        <row r="104">
          <cell r="A104" t="str">
            <v>Medicare Subsidy offset (T225 in P/Y)</v>
          </cell>
          <cell r="B104" t="str">
            <v>T076</v>
          </cell>
          <cell r="D104" t="str">
            <v>n/a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 t="str">
            <v>CF OK</v>
          </cell>
          <cell r="BU104">
            <v>0</v>
          </cell>
          <cell r="CC104">
            <v>0</v>
          </cell>
          <cell r="CE104">
            <v>0</v>
          </cell>
          <cell r="CF104" t="e">
            <v>#REF!</v>
          </cell>
        </row>
        <row r="105">
          <cell r="A105" t="str">
            <v>IPO Divestiture Costs</v>
          </cell>
          <cell r="B105" t="str">
            <v>x</v>
          </cell>
          <cell r="D105" t="str">
            <v>Separate Schedule - J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 t="str">
            <v>CF OK</v>
          </cell>
          <cell r="BU105">
            <v>0</v>
          </cell>
          <cell r="CC105">
            <v>0</v>
          </cell>
          <cell r="CE105">
            <v>0</v>
          </cell>
          <cell r="CF105" t="e">
            <v>#REF!</v>
          </cell>
        </row>
        <row r="106">
          <cell r="A106" t="str">
            <v>Long Term Debt</v>
          </cell>
          <cell r="B106" t="str">
            <v>x</v>
          </cell>
          <cell r="D106" t="str">
            <v>Separate Schedule - J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-11286</v>
          </cell>
          <cell r="BF106">
            <v>-1021476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-1032762</v>
          </cell>
          <cell r="BN106">
            <v>-1032762</v>
          </cell>
          <cell r="BO106">
            <v>0</v>
          </cell>
          <cell r="BP106">
            <v>-1032762</v>
          </cell>
          <cell r="BQ106">
            <v>-11286</v>
          </cell>
          <cell r="BR106">
            <v>-1021476</v>
          </cell>
          <cell r="BS106" t="str">
            <v>CF OK</v>
          </cell>
          <cell r="BU106">
            <v>0</v>
          </cell>
          <cell r="CC106">
            <v>0</v>
          </cell>
          <cell r="CE106">
            <v>-1032762</v>
          </cell>
          <cell r="CF106" t="e">
            <v>#REF!</v>
          </cell>
        </row>
        <row r="107">
          <cell r="A107" t="str">
            <v>Intangible</v>
          </cell>
          <cell r="B107" t="str">
            <v>x</v>
          </cell>
          <cell r="D107" t="str">
            <v>Separate Schedule - J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38246</v>
          </cell>
          <cell r="BF107">
            <v>-10952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27294</v>
          </cell>
          <cell r="BN107">
            <v>27294</v>
          </cell>
          <cell r="BO107">
            <v>0</v>
          </cell>
          <cell r="BP107">
            <v>27294</v>
          </cell>
          <cell r="BQ107">
            <v>38246</v>
          </cell>
          <cell r="BR107">
            <v>-10952</v>
          </cell>
          <cell r="BS107" t="str">
            <v>CF OK</v>
          </cell>
          <cell r="BU107">
            <v>0</v>
          </cell>
          <cell r="CC107">
            <v>0</v>
          </cell>
          <cell r="CE107">
            <v>27294</v>
          </cell>
          <cell r="CF107" t="e">
            <v>#REF!</v>
          </cell>
        </row>
        <row r="108">
          <cell r="A108" t="str">
            <v>Loss Contract Reserve</v>
          </cell>
          <cell r="B108" t="str">
            <v>x</v>
          </cell>
          <cell r="D108" t="str">
            <v>Separate Schedule - J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 t="str">
            <v>CF OK</v>
          </cell>
          <cell r="BU108">
            <v>0</v>
          </cell>
          <cell r="CC108">
            <v>0</v>
          </cell>
          <cell r="CE108">
            <v>0</v>
          </cell>
          <cell r="CF108" t="e">
            <v>#REF!</v>
          </cell>
        </row>
        <row r="109">
          <cell r="A109" t="str">
            <v>Elimination of Book Goodwill and Prior Sales (AWE only)</v>
          </cell>
          <cell r="B109" t="str">
            <v>x</v>
          </cell>
          <cell r="D109" t="str">
            <v>Separate Schedule - J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 t="str">
            <v>CF OK</v>
          </cell>
          <cell r="BU109">
            <v>0</v>
          </cell>
          <cell r="CC109">
            <v>0</v>
          </cell>
          <cell r="CE109">
            <v>0</v>
          </cell>
          <cell r="CF109" t="e">
            <v>#REF!</v>
          </cell>
        </row>
        <row r="110">
          <cell r="A110" t="str">
            <v>JE#  T220  JV Gain/Loss</v>
          </cell>
          <cell r="B110" t="str">
            <v>T220</v>
          </cell>
          <cell r="D110" t="str">
            <v>Separate Schedule - J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 t="str">
            <v>CF OK</v>
          </cell>
          <cell r="BU110">
            <v>0</v>
          </cell>
          <cell r="CC110">
            <v>0</v>
          </cell>
          <cell r="CE110">
            <v>0</v>
          </cell>
          <cell r="CF110" t="e">
            <v>#REF!</v>
          </cell>
        </row>
        <row r="111">
          <cell r="A111" t="str">
            <v>JE#  Z016  Prov/Rtn Adj. -  From K-1-interest income</v>
          </cell>
          <cell r="B111" t="str">
            <v>Z016</v>
          </cell>
          <cell r="C111" t="str">
            <v>L5.10</v>
          </cell>
          <cell r="D111" t="str">
            <v>Separate Schedule - J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 t="str">
            <v>CF OK</v>
          </cell>
          <cell r="BU111">
            <v>0</v>
          </cell>
          <cell r="CC111">
            <v>0</v>
          </cell>
          <cell r="CE111">
            <v>0</v>
          </cell>
          <cell r="CF111" t="e">
            <v>#REF!</v>
          </cell>
        </row>
        <row r="112">
          <cell r="A112" t="str">
            <v>FAS 123 (r) Stock Options - Acct #501716</v>
          </cell>
          <cell r="B112" t="str">
            <v>T230</v>
          </cell>
          <cell r="C112" t="str">
            <v>A7.70</v>
          </cell>
          <cell r="D112" t="str">
            <v>Separate Schedule - J</v>
          </cell>
          <cell r="F112">
            <v>-153858.02000000002</v>
          </cell>
          <cell r="G112">
            <v>29990</v>
          </cell>
          <cell r="H112">
            <v>0</v>
          </cell>
          <cell r="I112">
            <v>5729</v>
          </cell>
          <cell r="J112">
            <v>-27785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-6291</v>
          </cell>
          <cell r="S112">
            <v>0</v>
          </cell>
          <cell r="T112">
            <v>-78307</v>
          </cell>
          <cell r="U112">
            <v>-9848</v>
          </cell>
          <cell r="V112">
            <v>0</v>
          </cell>
          <cell r="W112">
            <v>-17287</v>
          </cell>
          <cell r="X112">
            <v>0</v>
          </cell>
          <cell r="Y112">
            <v>0</v>
          </cell>
          <cell r="Z112">
            <v>-45722</v>
          </cell>
          <cell r="AA112">
            <v>-4349</v>
          </cell>
          <cell r="AB112">
            <v>1816</v>
          </cell>
          <cell r="AC112">
            <v>0</v>
          </cell>
          <cell r="AD112">
            <v>-8601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-713235</v>
          </cell>
          <cell r="AJ112">
            <v>0</v>
          </cell>
          <cell r="AK112">
            <v>-1404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99543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I112">
            <v>-713235</v>
          </cell>
          <cell r="BJ112">
            <v>29990</v>
          </cell>
          <cell r="BK112">
            <v>5729</v>
          </cell>
          <cell r="BL112">
            <v>99543</v>
          </cell>
          <cell r="BM112">
            <v>-351636.02</v>
          </cell>
          <cell r="BN112">
            <v>-929609.02</v>
          </cell>
          <cell r="BO112">
            <v>0</v>
          </cell>
          <cell r="BP112">
            <v>-929609.02</v>
          </cell>
          <cell r="BQ112">
            <v>0</v>
          </cell>
          <cell r="BR112">
            <v>-929609.02</v>
          </cell>
          <cell r="BS112" t="str">
            <v>CF OK</v>
          </cell>
          <cell r="BU112">
            <v>0</v>
          </cell>
        </row>
        <row r="113">
          <cell r="A113" t="str">
            <v>FAS 123 (r) Restricted Stock Gift - Acct #501717</v>
          </cell>
          <cell r="B113" t="str">
            <v>T231</v>
          </cell>
          <cell r="C113" t="str">
            <v>A7.70</v>
          </cell>
          <cell r="D113" t="str">
            <v>Separate Schedule - J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 t="str">
            <v>CF OK</v>
          </cell>
          <cell r="BU113">
            <v>0</v>
          </cell>
        </row>
        <row r="114">
          <cell r="A114" t="str">
            <v>Imputed Interest Expense</v>
          </cell>
          <cell r="B114" t="str">
            <v>x</v>
          </cell>
          <cell r="D114" t="str">
            <v>Separate Schedule - J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 t="str">
            <v>CF OK</v>
          </cell>
          <cell r="BU114">
            <v>0</v>
          </cell>
        </row>
        <row r="115">
          <cell r="A115" t="str">
            <v>Inventory Reserve</v>
          </cell>
          <cell r="B115" t="str">
            <v>x</v>
          </cell>
          <cell r="C115" t="str">
            <v>L5.10</v>
          </cell>
          <cell r="D115" t="str">
            <v>Separate Schedule - J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749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749</v>
          </cell>
          <cell r="BM115">
            <v>0</v>
          </cell>
          <cell r="BN115">
            <v>749</v>
          </cell>
          <cell r="BO115">
            <v>0</v>
          </cell>
          <cell r="BP115">
            <v>749</v>
          </cell>
          <cell r="BQ115">
            <v>0</v>
          </cell>
          <cell r="BR115">
            <v>749</v>
          </cell>
          <cell r="BS115" t="str">
            <v>CF OK</v>
          </cell>
          <cell r="BU115">
            <v>0</v>
          </cell>
        </row>
        <row r="116">
          <cell r="A116" t="str">
            <v>Accrued Interest</v>
          </cell>
          <cell r="B116" t="str">
            <v>x</v>
          </cell>
          <cell r="C116" t="str">
            <v>A7.50</v>
          </cell>
          <cell r="D116" t="str">
            <v>Separate Schedule - J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-215842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-215842</v>
          </cell>
          <cell r="BM116">
            <v>0</v>
          </cell>
          <cell r="BN116">
            <v>-215842</v>
          </cell>
          <cell r="BO116">
            <v>0</v>
          </cell>
          <cell r="BP116">
            <v>-215842</v>
          </cell>
          <cell r="BQ116">
            <v>0</v>
          </cell>
          <cell r="BR116">
            <v>-215842</v>
          </cell>
          <cell r="BS116" t="str">
            <v>CF OK</v>
          </cell>
          <cell r="BU116">
            <v>0</v>
          </cell>
        </row>
        <row r="117">
          <cell r="A117" t="str">
            <v>Loss Contract Reserve</v>
          </cell>
          <cell r="B117" t="str">
            <v>x</v>
          </cell>
          <cell r="C117" t="str">
            <v>A7.50</v>
          </cell>
          <cell r="D117" t="str">
            <v>Separate Schedule - J</v>
          </cell>
          <cell r="F117">
            <v>0</v>
          </cell>
          <cell r="G117">
            <v>0</v>
          </cell>
          <cell r="H117">
            <v>0</v>
          </cell>
          <cell r="I117">
            <v>-222771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65815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I117">
            <v>0</v>
          </cell>
          <cell r="BJ117">
            <v>0</v>
          </cell>
          <cell r="BK117">
            <v>-222771</v>
          </cell>
          <cell r="BL117">
            <v>65815</v>
          </cell>
          <cell r="BM117">
            <v>0</v>
          </cell>
          <cell r="BN117">
            <v>-156956</v>
          </cell>
          <cell r="BO117">
            <v>0</v>
          </cell>
          <cell r="BP117">
            <v>-156956</v>
          </cell>
          <cell r="BQ117">
            <v>0</v>
          </cell>
          <cell r="BR117">
            <v>-156956</v>
          </cell>
          <cell r="BS117" t="str">
            <v>CF OK</v>
          </cell>
          <cell r="BU117">
            <v>0</v>
          </cell>
        </row>
        <row r="118">
          <cell r="A118" t="str">
            <v>Minority Interest</v>
          </cell>
          <cell r="B118" t="str">
            <v>x</v>
          </cell>
          <cell r="D118" t="str">
            <v>Separate Schedule - J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44702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44702</v>
          </cell>
          <cell r="BM118">
            <v>0</v>
          </cell>
          <cell r="BN118">
            <v>44702</v>
          </cell>
          <cell r="BO118">
            <v>0</v>
          </cell>
          <cell r="BP118">
            <v>44702</v>
          </cell>
          <cell r="BQ118">
            <v>0</v>
          </cell>
          <cell r="BR118">
            <v>44702</v>
          </cell>
          <cell r="BS118" t="str">
            <v>CF OK</v>
          </cell>
          <cell r="BU118">
            <v>0</v>
          </cell>
        </row>
        <row r="119">
          <cell r="A119" t="str">
            <v>Sludge</v>
          </cell>
          <cell r="B119" t="str">
            <v>x</v>
          </cell>
          <cell r="C119" t="str">
            <v>A7.50</v>
          </cell>
          <cell r="D119" t="str">
            <v>Separate Schedule - J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130839</v>
          </cell>
          <cell r="BA119">
            <v>-7569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123270</v>
          </cell>
          <cell r="BM119">
            <v>0</v>
          </cell>
          <cell r="BN119">
            <v>123270</v>
          </cell>
          <cell r="BO119">
            <v>0</v>
          </cell>
          <cell r="BP119">
            <v>123270</v>
          </cell>
          <cell r="BQ119">
            <v>0</v>
          </cell>
          <cell r="BR119">
            <v>123270</v>
          </cell>
          <cell r="BS119" t="str">
            <v>CF OK</v>
          </cell>
          <cell r="BU119">
            <v>0</v>
          </cell>
        </row>
        <row r="120">
          <cell r="A120" t="str">
            <v>Accrued Warranty</v>
          </cell>
          <cell r="B120" t="str">
            <v>x</v>
          </cell>
          <cell r="D120" t="str">
            <v>Separate Schedule - J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 t="str">
            <v>CF OK</v>
          </cell>
          <cell r="BU120">
            <v>0</v>
          </cell>
        </row>
        <row r="121">
          <cell r="A121" t="str">
            <v>Accrued Purchases</v>
          </cell>
          <cell r="B121" t="str">
            <v>x</v>
          </cell>
          <cell r="C121" t="str">
            <v>A7.50</v>
          </cell>
          <cell r="D121" t="str">
            <v>Separate Schedule - J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 t="str">
            <v>CF OK</v>
          </cell>
          <cell r="BU121">
            <v>0</v>
          </cell>
        </row>
        <row r="122">
          <cell r="A122" t="str">
            <v>Accrued Utilities</v>
          </cell>
          <cell r="B122" t="str">
            <v>x</v>
          </cell>
          <cell r="D122" t="str">
            <v>Separate Schedule - J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 t="str">
            <v>CF OK</v>
          </cell>
          <cell r="BU122">
            <v>0</v>
          </cell>
        </row>
        <row r="123">
          <cell r="A123" t="str">
            <v>Book Goodwill Amortization</v>
          </cell>
          <cell r="B123" t="str">
            <v>x</v>
          </cell>
          <cell r="C123" t="str">
            <v>L3.00</v>
          </cell>
          <cell r="D123" t="str">
            <v>Separate Schedule - J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 t="str">
            <v>CF OK</v>
          </cell>
          <cell r="BU123">
            <v>0</v>
          </cell>
        </row>
        <row r="124">
          <cell r="A124" t="str">
            <v>Carbon Leases</v>
          </cell>
          <cell r="B124" t="str">
            <v>x</v>
          </cell>
          <cell r="C124" t="str">
            <v>L10.00</v>
          </cell>
          <cell r="D124" t="str">
            <v>Separate Schedule - J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389881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389881</v>
          </cell>
          <cell r="BM124">
            <v>0</v>
          </cell>
          <cell r="BN124">
            <v>389881</v>
          </cell>
          <cell r="BO124">
            <v>0</v>
          </cell>
          <cell r="BP124">
            <v>389881</v>
          </cell>
          <cell r="BQ124">
            <v>0</v>
          </cell>
          <cell r="BR124">
            <v>389881</v>
          </cell>
          <cell r="BS124" t="str">
            <v>CF OK</v>
          </cell>
          <cell r="BU124">
            <v>0</v>
          </cell>
        </row>
        <row r="125">
          <cell r="A125" t="str">
            <v>Tax Goodwill Amortization</v>
          </cell>
          <cell r="B125" t="str">
            <v>x</v>
          </cell>
          <cell r="C125" t="str">
            <v>L3.00</v>
          </cell>
          <cell r="D125" t="str">
            <v>Separate Schedule - J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15000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15000</v>
          </cell>
          <cell r="BM125">
            <v>0</v>
          </cell>
          <cell r="BN125">
            <v>15000</v>
          </cell>
          <cell r="BO125">
            <v>0</v>
          </cell>
          <cell r="BP125">
            <v>15000</v>
          </cell>
          <cell r="BQ125">
            <v>0</v>
          </cell>
          <cell r="BR125">
            <v>15000</v>
          </cell>
          <cell r="BS125" t="str">
            <v>CF OK</v>
          </cell>
          <cell r="BU125">
            <v>0</v>
          </cell>
        </row>
        <row r="126">
          <cell r="A126" t="str">
            <v>FAS 123 (r) Restricted Stock Units - Acct #501718</v>
          </cell>
          <cell r="B126" t="str">
            <v>T232</v>
          </cell>
          <cell r="C126" t="str">
            <v>A7.70</v>
          </cell>
          <cell r="D126" t="str">
            <v>Separate Schedule - J</v>
          </cell>
          <cell r="F126">
            <v>2225474</v>
          </cell>
          <cell r="G126">
            <v>101510</v>
          </cell>
          <cell r="H126">
            <v>0</v>
          </cell>
          <cell r="I126">
            <v>17204</v>
          </cell>
          <cell r="J126">
            <v>8510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32231</v>
          </cell>
          <cell r="S126">
            <v>0</v>
          </cell>
          <cell r="T126">
            <v>-68940</v>
          </cell>
          <cell r="U126">
            <v>9105</v>
          </cell>
          <cell r="V126">
            <v>0</v>
          </cell>
          <cell r="W126">
            <v>-42573</v>
          </cell>
          <cell r="X126">
            <v>0</v>
          </cell>
          <cell r="Y126">
            <v>0</v>
          </cell>
          <cell r="Z126">
            <v>23280</v>
          </cell>
          <cell r="AA126">
            <v>2949</v>
          </cell>
          <cell r="AB126">
            <v>11616</v>
          </cell>
          <cell r="AC126">
            <v>0</v>
          </cell>
          <cell r="AD126">
            <v>90577</v>
          </cell>
          <cell r="AE126">
            <v>-6337</v>
          </cell>
          <cell r="AF126">
            <v>0</v>
          </cell>
          <cell r="AG126">
            <v>0</v>
          </cell>
          <cell r="AH126">
            <v>0</v>
          </cell>
          <cell r="AI126">
            <v>1230364</v>
          </cell>
          <cell r="AJ126">
            <v>0</v>
          </cell>
          <cell r="AK126">
            <v>80954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235240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I126">
            <v>1230364</v>
          </cell>
          <cell r="BJ126">
            <v>101510</v>
          </cell>
          <cell r="BK126">
            <v>17204</v>
          </cell>
          <cell r="BL126">
            <v>235240</v>
          </cell>
          <cell r="BM126">
            <v>2366846</v>
          </cell>
          <cell r="BN126">
            <v>3951164</v>
          </cell>
          <cell r="BO126">
            <v>0</v>
          </cell>
          <cell r="BP126">
            <v>3951164</v>
          </cell>
          <cell r="BQ126">
            <v>-6337</v>
          </cell>
          <cell r="BR126">
            <v>3957501</v>
          </cell>
          <cell r="BS126" t="str">
            <v>CF OK</v>
          </cell>
          <cell r="BU126">
            <v>0</v>
          </cell>
        </row>
        <row r="127">
          <cell r="A127" t="str">
            <v>FAS 123 (r) ESPP  - Acct #508200</v>
          </cell>
          <cell r="B127" t="str">
            <v>T233</v>
          </cell>
          <cell r="C127" t="str">
            <v>A7.70</v>
          </cell>
          <cell r="D127" t="str">
            <v>Separate Schedule - J</v>
          </cell>
          <cell r="F127">
            <v>-46.170000000012806</v>
          </cell>
          <cell r="G127">
            <v>1090.5200000000041</v>
          </cell>
          <cell r="H127">
            <v>-6153.38</v>
          </cell>
          <cell r="I127">
            <v>6097</v>
          </cell>
          <cell r="J127">
            <v>-64.329999999999927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-173.70999999999913</v>
          </cell>
          <cell r="S127">
            <v>-11.529999999999973</v>
          </cell>
          <cell r="T127">
            <v>-2421.2599999999948</v>
          </cell>
          <cell r="U127">
            <v>-96.110000000000127</v>
          </cell>
          <cell r="V127">
            <v>134.47000000000025</v>
          </cell>
          <cell r="W127">
            <v>-49.970000000000255</v>
          </cell>
          <cell r="X127">
            <v>0</v>
          </cell>
          <cell r="Y127">
            <v>0</v>
          </cell>
          <cell r="Z127">
            <v>-238.59999999999854</v>
          </cell>
          <cell r="AA127">
            <v>-53.3799999999992</v>
          </cell>
          <cell r="AB127">
            <v>66.659999999999854</v>
          </cell>
          <cell r="AC127">
            <v>0</v>
          </cell>
          <cell r="AD127">
            <v>-73.529999999998836</v>
          </cell>
          <cell r="AE127">
            <v>-1502</v>
          </cell>
          <cell r="AF127">
            <v>0</v>
          </cell>
          <cell r="AG127">
            <v>0</v>
          </cell>
          <cell r="AH127">
            <v>0</v>
          </cell>
          <cell r="AI127">
            <v>-42.039999999999964</v>
          </cell>
          <cell r="AJ127">
            <v>0</v>
          </cell>
          <cell r="AK127">
            <v>-350.7400000000016</v>
          </cell>
          <cell r="AL127">
            <v>305</v>
          </cell>
          <cell r="AM127">
            <v>0</v>
          </cell>
          <cell r="AN127">
            <v>55.85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-779</v>
          </cell>
          <cell r="BA127">
            <v>-426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I127">
            <v>-42.039999999999964</v>
          </cell>
          <cell r="BJ127">
            <v>1090.5200000000041</v>
          </cell>
          <cell r="BK127">
            <v>-56.380000000000109</v>
          </cell>
          <cell r="BL127">
            <v>-1205</v>
          </cell>
          <cell r="BM127">
            <v>-4519.350000000004</v>
          </cell>
          <cell r="BN127">
            <v>-4732.25</v>
          </cell>
          <cell r="BO127">
            <v>0</v>
          </cell>
          <cell r="BP127">
            <v>-4732.25</v>
          </cell>
          <cell r="BQ127">
            <v>-1197</v>
          </cell>
          <cell r="BR127">
            <v>-3535.25</v>
          </cell>
          <cell r="BS127" t="str">
            <v>CF OK</v>
          </cell>
          <cell r="BU127">
            <v>0</v>
          </cell>
        </row>
        <row r="128">
          <cell r="A128" t="str">
            <v>MTBE</v>
          </cell>
          <cell r="B128" t="str">
            <v>T234</v>
          </cell>
          <cell r="C128" t="str">
            <v>A7.80</v>
          </cell>
          <cell r="D128" t="str">
            <v>Separate Schedule - J</v>
          </cell>
          <cell r="F128">
            <v>0</v>
          </cell>
          <cell r="G128">
            <v>-271177.44</v>
          </cell>
          <cell r="H128">
            <v>0</v>
          </cell>
          <cell r="I128">
            <v>0</v>
          </cell>
          <cell r="J128">
            <v>0</v>
          </cell>
          <cell r="K128">
            <v>182184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8469.06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I128">
            <v>0</v>
          </cell>
          <cell r="BJ128">
            <v>-271177.44</v>
          </cell>
          <cell r="BK128">
            <v>0</v>
          </cell>
          <cell r="BL128">
            <v>0</v>
          </cell>
          <cell r="BM128">
            <v>190653.06</v>
          </cell>
          <cell r="BN128">
            <v>-80524.38</v>
          </cell>
          <cell r="BO128">
            <v>0</v>
          </cell>
          <cell r="BP128">
            <v>-80524.38</v>
          </cell>
          <cell r="BQ128">
            <v>0</v>
          </cell>
          <cell r="BR128">
            <v>-80524.38</v>
          </cell>
          <cell r="BS128" t="str">
            <v>CF OK</v>
          </cell>
          <cell r="BU128">
            <v>0</v>
          </cell>
        </row>
        <row r="129">
          <cell r="A129" t="str">
            <v>Repairs Expense</v>
          </cell>
          <cell r="B129" t="str">
            <v>T235</v>
          </cell>
          <cell r="C129" t="str">
            <v>L1.20</v>
          </cell>
          <cell r="D129" t="str">
            <v>Separate Schedule - J</v>
          </cell>
          <cell r="F129">
            <v>0</v>
          </cell>
          <cell r="G129">
            <v>-41532343.84678822</v>
          </cell>
          <cell r="H129">
            <v>0</v>
          </cell>
          <cell r="I129">
            <v>0</v>
          </cell>
          <cell r="J129">
            <v>-4390334.2729251366</v>
          </cell>
          <cell r="K129">
            <v>-287309.81981263962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-5495823.4729174301</v>
          </cell>
          <cell r="S129">
            <v>-165881.76103393771</v>
          </cell>
          <cell r="T129">
            <v>-90778720.14834182</v>
          </cell>
          <cell r="U129">
            <v>-2082419.4107630076</v>
          </cell>
          <cell r="V129">
            <v>-1733423.6594463116</v>
          </cell>
          <cell r="W129">
            <v>-7374002.7940316582</v>
          </cell>
          <cell r="X129">
            <v>0</v>
          </cell>
          <cell r="Y129">
            <v>0</v>
          </cell>
          <cell r="Z129">
            <v>-18561229.801516078</v>
          </cell>
          <cell r="AA129">
            <v>-21627363.457588132</v>
          </cell>
          <cell r="AB129">
            <v>-1417823.5611753413</v>
          </cell>
          <cell r="AC129">
            <v>-77000.546233859088</v>
          </cell>
          <cell r="AD129">
            <v>-51402728.533319838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-7645713.8434691187</v>
          </cell>
          <cell r="AL129">
            <v>0</v>
          </cell>
          <cell r="AM129">
            <v>0</v>
          </cell>
          <cell r="AN129">
            <v>-56896.500374455616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I129">
            <v>0</v>
          </cell>
          <cell r="BJ129">
            <v>-41532343.84678822</v>
          </cell>
          <cell r="BK129">
            <v>0</v>
          </cell>
          <cell r="BL129">
            <v>0</v>
          </cell>
          <cell r="BM129">
            <v>-213096671.58294877</v>
          </cell>
          <cell r="BN129">
            <v>-254629015.429737</v>
          </cell>
          <cell r="BO129">
            <v>0</v>
          </cell>
          <cell r="BP129">
            <v>-254629015.429737</v>
          </cell>
          <cell r="BQ129">
            <v>0</v>
          </cell>
          <cell r="BR129">
            <v>-254629015.429737</v>
          </cell>
          <cell r="BS129" t="str">
            <v>CF OK</v>
          </cell>
          <cell r="BU129">
            <v>0</v>
          </cell>
        </row>
        <row r="130">
          <cell r="A130" t="str">
            <v>Litigation Reserve</v>
          </cell>
          <cell r="B130" t="str">
            <v>T236</v>
          </cell>
          <cell r="C130" t="str">
            <v>A7.60</v>
          </cell>
          <cell r="D130" t="str">
            <v>Separate Schedule - J</v>
          </cell>
          <cell r="F130">
            <v>0</v>
          </cell>
          <cell r="G130">
            <v>446400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500000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1547</v>
          </cell>
          <cell r="U130">
            <v>-101376.49</v>
          </cell>
          <cell r="V130">
            <v>0</v>
          </cell>
          <cell r="W130">
            <v>-248000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140000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-7499.78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1805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I130">
            <v>0</v>
          </cell>
          <cell r="BJ130">
            <v>446400</v>
          </cell>
          <cell r="BK130">
            <v>0</v>
          </cell>
          <cell r="BL130">
            <v>1805</v>
          </cell>
          <cell r="BM130">
            <v>284670.73</v>
          </cell>
          <cell r="BN130">
            <v>732875.73</v>
          </cell>
          <cell r="BO130">
            <v>0</v>
          </cell>
          <cell r="BP130">
            <v>732875.73</v>
          </cell>
          <cell r="BQ130">
            <v>0</v>
          </cell>
          <cell r="BR130">
            <v>732875.73</v>
          </cell>
          <cell r="BS130" t="str">
            <v>CF OK</v>
          </cell>
          <cell r="BU130">
            <v>0</v>
          </cell>
          <cell r="CA130">
            <v>0</v>
          </cell>
          <cell r="CC130">
            <v>0</v>
          </cell>
          <cell r="CE130">
            <v>732875.73</v>
          </cell>
          <cell r="CF130" t="e">
            <v>#REF!</v>
          </cell>
        </row>
        <row r="131">
          <cell r="A131" t="str">
            <v>MT. Vernon Privatization</v>
          </cell>
          <cell r="D131" t="str">
            <v>Separate Schedule - J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62139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62139</v>
          </cell>
          <cell r="BM131">
            <v>0</v>
          </cell>
          <cell r="BN131">
            <v>62139</v>
          </cell>
          <cell r="BO131">
            <v>0</v>
          </cell>
          <cell r="BP131">
            <v>62139</v>
          </cell>
          <cell r="BQ131">
            <v>0</v>
          </cell>
          <cell r="BR131">
            <v>62139</v>
          </cell>
          <cell r="BS131" t="str">
            <v>CF OK</v>
          </cell>
          <cell r="BU131">
            <v>0</v>
          </cell>
        </row>
        <row r="132">
          <cell r="A132" t="str">
            <v>JE  T175  Acquisition Costs</v>
          </cell>
          <cell r="B132" t="str">
            <v>T175</v>
          </cell>
          <cell r="C132" t="str">
            <v>L2.33</v>
          </cell>
          <cell r="D132" t="str">
            <v>Separate Schedule - J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 t="str">
            <v>CF OK</v>
          </cell>
          <cell r="BU132">
            <v>0</v>
          </cell>
        </row>
        <row r="133">
          <cell r="D133" t="str">
            <v>Separate Schedule - J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 t="str">
            <v>CF OK</v>
          </cell>
          <cell r="BU133">
            <v>0</v>
          </cell>
        </row>
        <row r="134">
          <cell r="D134" t="str">
            <v>Separate Schedule - J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 t="str">
            <v>CF OK</v>
          </cell>
          <cell r="BU134">
            <v>0</v>
          </cell>
        </row>
        <row r="135">
          <cell r="A135" t="str">
            <v>Total Temporary Differences</v>
          </cell>
          <cell r="F135">
            <v>-7907915.5437500011</v>
          </cell>
          <cell r="G135">
            <v>-139172262.01618358</v>
          </cell>
          <cell r="H135">
            <v>496915.78839999996</v>
          </cell>
          <cell r="I135">
            <v>-423773</v>
          </cell>
          <cell r="J135">
            <v>-13698588.802785801</v>
          </cell>
          <cell r="K135">
            <v>-698069.71424152679</v>
          </cell>
          <cell r="L135">
            <v>-64845.219999999994</v>
          </cell>
          <cell r="M135">
            <v>342585.98999999987</v>
          </cell>
          <cell r="N135">
            <v>-1351811.9300000002</v>
          </cell>
          <cell r="O135">
            <v>-1678667</v>
          </cell>
          <cell r="P135">
            <v>0</v>
          </cell>
          <cell r="Q135">
            <v>-1782.1996000000036</v>
          </cell>
          <cell r="R135">
            <v>-7653475.1038881885</v>
          </cell>
          <cell r="S135">
            <v>-654510.72991304041</v>
          </cell>
          <cell r="T135">
            <v>-194777610.92768657</v>
          </cell>
          <cell r="U135">
            <v>-7254986.2179155843</v>
          </cell>
          <cell r="V135">
            <v>-4578685.8844198966</v>
          </cell>
          <cell r="W135">
            <v>-21810625.900044359</v>
          </cell>
          <cell r="X135">
            <v>0</v>
          </cell>
          <cell r="Y135">
            <v>0</v>
          </cell>
          <cell r="Z135">
            <v>-35020439.350106053</v>
          </cell>
          <cell r="AA135">
            <v>-37437167.845914043</v>
          </cell>
          <cell r="AB135">
            <v>-2814233.7074304707</v>
          </cell>
          <cell r="AC135">
            <v>-223496.29943207736</v>
          </cell>
          <cell r="AD135">
            <v>-87137091.249567151</v>
          </cell>
          <cell r="AE135">
            <v>-6954.41</v>
          </cell>
          <cell r="AF135">
            <v>-1073588.6170273088</v>
          </cell>
          <cell r="AG135">
            <v>0</v>
          </cell>
          <cell r="AH135">
            <v>0</v>
          </cell>
          <cell r="AI135">
            <v>595643.94083333388</v>
          </cell>
          <cell r="AJ135">
            <v>0</v>
          </cell>
          <cell r="AK135">
            <v>-27184882.6909872</v>
          </cell>
          <cell r="AL135">
            <v>-270941</v>
          </cell>
          <cell r="AM135">
            <v>0</v>
          </cell>
          <cell r="AN135">
            <v>273154.49691224261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-7034417</v>
          </cell>
          <cell r="BA135">
            <v>-701835</v>
          </cell>
          <cell r="BB135">
            <v>0</v>
          </cell>
          <cell r="BC135">
            <v>0</v>
          </cell>
          <cell r="BD135">
            <v>0</v>
          </cell>
          <cell r="BE135">
            <v>-1886940</v>
          </cell>
          <cell r="BF135">
            <v>-6783822</v>
          </cell>
          <cell r="BI135">
            <v>530798.72083333367</v>
          </cell>
          <cell r="BJ135">
            <v>-139172262.01618358</v>
          </cell>
          <cell r="BK135">
            <v>73142.788399999961</v>
          </cell>
          <cell r="BL135">
            <v>-9414919</v>
          </cell>
          <cell r="BM135">
            <v>-459611879.63779712</v>
          </cell>
          <cell r="BN135">
            <v>-607595119.14474714</v>
          </cell>
          <cell r="BO135">
            <v>0</v>
          </cell>
          <cell r="BP135">
            <v>-607595119.14474714</v>
          </cell>
          <cell r="BQ135">
            <v>-2164835.41</v>
          </cell>
          <cell r="BR135">
            <v>-605430283.73474705</v>
          </cell>
          <cell r="BS135" t="str">
            <v>CF OK</v>
          </cell>
          <cell r="BU135">
            <v>0</v>
          </cell>
          <cell r="BZ135">
            <v>0</v>
          </cell>
          <cell r="CA135">
            <v>0</v>
          </cell>
          <cell r="CC135">
            <v>0</v>
          </cell>
          <cell r="CE135">
            <v>-355765452.06501013</v>
          </cell>
          <cell r="CF135" t="e">
            <v>#REF!</v>
          </cell>
        </row>
        <row r="137">
          <cell r="A137" t="str">
            <v>State Current Taxable Inc Before State Only Adjustment</v>
          </cell>
          <cell r="F137">
            <v>-6846124.1887499923</v>
          </cell>
          <cell r="G137">
            <v>-175463.89118358493</v>
          </cell>
          <cell r="H137">
            <v>3732962.8984000026</v>
          </cell>
          <cell r="I137">
            <v>20778983</v>
          </cell>
          <cell r="J137">
            <v>-3389369.9627858009</v>
          </cell>
          <cell r="K137">
            <v>5866140.3057584725</v>
          </cell>
          <cell r="L137">
            <v>-3656682.7800000003</v>
          </cell>
          <cell r="M137">
            <v>-409066.22000000312</v>
          </cell>
          <cell r="N137">
            <v>521338.35999999987</v>
          </cell>
          <cell r="O137">
            <v>-1386841.18</v>
          </cell>
          <cell r="P137">
            <v>17198.61</v>
          </cell>
          <cell r="Q137">
            <v>-44728.929600000003</v>
          </cell>
          <cell r="R137">
            <v>14016368.346111815</v>
          </cell>
          <cell r="S137">
            <v>-64319.769913040334</v>
          </cell>
          <cell r="T137">
            <v>-45963354.602686584</v>
          </cell>
          <cell r="U137">
            <v>-785216.79791558441</v>
          </cell>
          <cell r="V137">
            <v>1212129.3355801031</v>
          </cell>
          <cell r="W137">
            <v>-7707820.4050443601</v>
          </cell>
          <cell r="X137">
            <v>0</v>
          </cell>
          <cell r="Y137">
            <v>0</v>
          </cell>
          <cell r="Z137">
            <v>330453.73489394784</v>
          </cell>
          <cell r="AA137">
            <v>8509527.804085955</v>
          </cell>
          <cell r="AB137">
            <v>3428941.4475695388</v>
          </cell>
          <cell r="AC137">
            <v>22454.300567922648</v>
          </cell>
          <cell r="AD137">
            <v>-16081127.799567148</v>
          </cell>
          <cell r="AE137">
            <v>5744479.6600000001</v>
          </cell>
          <cell r="AF137">
            <v>2348864.5029726913</v>
          </cell>
          <cell r="AG137">
            <v>594836.36</v>
          </cell>
          <cell r="AH137">
            <v>0</v>
          </cell>
          <cell r="AI137">
            <v>-75216459.204166666</v>
          </cell>
          <cell r="AJ137">
            <v>0</v>
          </cell>
          <cell r="AK137">
            <v>8465954.2890128046</v>
          </cell>
          <cell r="AL137">
            <v>-3414437.26</v>
          </cell>
          <cell r="AM137">
            <v>25355952</v>
          </cell>
          <cell r="AN137">
            <v>1821698.9269122425</v>
          </cell>
          <cell r="AO137">
            <v>-15841.739999958399</v>
          </cell>
          <cell r="AP137">
            <v>107296.12999999999</v>
          </cell>
          <cell r="AQ137">
            <v>3513276.29</v>
          </cell>
          <cell r="AR137">
            <v>-38700.769999999997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-1010651.6899999976</v>
          </cell>
          <cell r="BA137">
            <v>692571.5</v>
          </cell>
          <cell r="BB137">
            <v>1788912.1059220019</v>
          </cell>
          <cell r="BC137">
            <v>0</v>
          </cell>
          <cell r="BD137">
            <v>0</v>
          </cell>
          <cell r="BE137">
            <v>-38679206.32</v>
          </cell>
          <cell r="BF137">
            <v>22308396.309999999</v>
          </cell>
          <cell r="BI137">
            <v>-75359865.69416666</v>
          </cell>
          <cell r="BJ137">
            <v>-175463.89118358493</v>
          </cell>
          <cell r="BK137">
            <v>24511945.898400001</v>
          </cell>
          <cell r="BL137">
            <v>-1704921.3699999973</v>
          </cell>
          <cell r="BM137">
            <v>-22767284.342797041</v>
          </cell>
          <cell r="BN137">
            <v>-75495589.399747014</v>
          </cell>
          <cell r="BO137">
            <v>1788912.1059220019</v>
          </cell>
          <cell r="BP137">
            <v>-73706677.29382503</v>
          </cell>
          <cell r="BQ137">
            <v>-10398375.559999999</v>
          </cell>
          <cell r="BR137">
            <v>-63308301.733824968</v>
          </cell>
          <cell r="BZ137">
            <v>0</v>
          </cell>
          <cell r="CA137">
            <v>0</v>
          </cell>
          <cell r="CC137">
            <v>0</v>
          </cell>
          <cell r="CE137">
            <v>178122989.78591198</v>
          </cell>
        </row>
        <row r="139">
          <cell r="A139" t="str">
            <v>State Only Adjustments:</v>
          </cell>
        </row>
        <row r="140">
          <cell r="A140" t="str">
            <v>State only Perm Adjustments (Provide Supporting Details)</v>
          </cell>
          <cell r="D140" t="str">
            <v>Separate Schedule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2578828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2578828</v>
          </cell>
          <cell r="BN140">
            <v>2578828</v>
          </cell>
          <cell r="BO140">
            <v>0</v>
          </cell>
          <cell r="BP140">
            <v>2578828</v>
          </cell>
          <cell r="BQ140">
            <v>0</v>
          </cell>
          <cell r="BR140">
            <v>2578828</v>
          </cell>
          <cell r="BS140" t="str">
            <v>CF OK</v>
          </cell>
          <cell r="BU140">
            <v>0</v>
          </cell>
          <cell r="CC140">
            <v>0</v>
          </cell>
          <cell r="CE140">
            <v>2578828</v>
          </cell>
        </row>
        <row r="141">
          <cell r="A141" t="str">
            <v>State only Temp Adjustments (Provide Supporting Details)</v>
          </cell>
          <cell r="D141" t="str">
            <v>Separate Schedule</v>
          </cell>
          <cell r="F141">
            <v>7915726.9100000001</v>
          </cell>
          <cell r="G141">
            <v>0</v>
          </cell>
          <cell r="H141">
            <v>-1715.25</v>
          </cell>
          <cell r="I141">
            <v>0</v>
          </cell>
          <cell r="J141">
            <v>3754232.1970666819</v>
          </cell>
          <cell r="K141">
            <v>179222.87049180642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-895968.49000000022</v>
          </cell>
          <cell r="S141">
            <v>352298.60169337073</v>
          </cell>
          <cell r="T141">
            <v>92112737.316212505</v>
          </cell>
          <cell r="U141">
            <v>4348993.850526127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20074324.744657122</v>
          </cell>
          <cell r="AA141">
            <v>13489348.87668182</v>
          </cell>
          <cell r="AB141">
            <v>2420156.391824082</v>
          </cell>
          <cell r="AC141">
            <v>173821.00714540915</v>
          </cell>
          <cell r="AD141">
            <v>-106556.42000000924</v>
          </cell>
          <cell r="AE141">
            <v>0</v>
          </cell>
          <cell r="AF141">
            <v>16616.62659999961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4556836.5165001377</v>
          </cell>
          <cell r="AL141">
            <v>0</v>
          </cell>
          <cell r="AM141">
            <v>0</v>
          </cell>
          <cell r="AN141">
            <v>330711.33991651679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I141">
            <v>0</v>
          </cell>
          <cell r="BJ141">
            <v>0</v>
          </cell>
          <cell r="BK141">
            <v>-1715.25</v>
          </cell>
          <cell r="BL141">
            <v>0</v>
          </cell>
          <cell r="BM141">
            <v>148722502.33931556</v>
          </cell>
          <cell r="BN141">
            <v>148720787.08931556</v>
          </cell>
          <cell r="BO141">
            <v>0</v>
          </cell>
          <cell r="BP141">
            <v>148720787.08931556</v>
          </cell>
          <cell r="BQ141">
            <v>0</v>
          </cell>
          <cell r="BR141">
            <v>148720787.08931556</v>
          </cell>
          <cell r="BS141" t="str">
            <v>CF OK</v>
          </cell>
          <cell r="BU141">
            <v>0</v>
          </cell>
          <cell r="CC141">
            <v>0</v>
          </cell>
          <cell r="CE141">
            <v>148720787.08931556</v>
          </cell>
          <cell r="DK141">
            <v>141</v>
          </cell>
        </row>
        <row r="142">
          <cell r="A142" t="str">
            <v>Domestic Dividend Received Deduction</v>
          </cell>
          <cell r="D142" t="str">
            <v>Separate Schedule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 t="str">
            <v>CF OK</v>
          </cell>
          <cell r="CC142">
            <v>0</v>
          </cell>
          <cell r="CE142">
            <v>0</v>
          </cell>
        </row>
        <row r="143">
          <cell r="A143" t="str">
            <v>Affiliated Dividends Received Deduction</v>
          </cell>
          <cell r="D143" t="str">
            <v>Separate Schedule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 t="str">
            <v>CF OK</v>
          </cell>
          <cell r="CC143">
            <v>0</v>
          </cell>
          <cell r="CE143">
            <v>0</v>
          </cell>
        </row>
        <row r="144">
          <cell r="A144" t="str">
            <v>State Current Taxable Income Before NOL</v>
          </cell>
          <cell r="F144">
            <v>1069602.7212500079</v>
          </cell>
          <cell r="G144">
            <v>-175463.89118358493</v>
          </cell>
          <cell r="H144">
            <v>3731247.6484000026</v>
          </cell>
          <cell r="I144">
            <v>20778983</v>
          </cell>
          <cell r="J144">
            <v>364862.23428088101</v>
          </cell>
          <cell r="K144">
            <v>6045363.1762502789</v>
          </cell>
          <cell r="L144">
            <v>-3656682.7800000003</v>
          </cell>
          <cell r="M144">
            <v>-409066.22000000312</v>
          </cell>
          <cell r="N144">
            <v>521338.35999999987</v>
          </cell>
          <cell r="O144">
            <v>-1386841.18</v>
          </cell>
          <cell r="P144">
            <v>17198.61</v>
          </cell>
          <cell r="Q144">
            <v>-44728.929600000003</v>
          </cell>
          <cell r="R144">
            <v>13120399.856111815</v>
          </cell>
          <cell r="S144">
            <v>287978.83178033039</v>
          </cell>
          <cell r="T144">
            <v>46149382.713525921</v>
          </cell>
          <cell r="U144">
            <v>3563777.0526105426</v>
          </cell>
          <cell r="V144">
            <v>1212129.3355801031</v>
          </cell>
          <cell r="W144">
            <v>-7707820.4050443601</v>
          </cell>
          <cell r="X144">
            <v>0</v>
          </cell>
          <cell r="Y144">
            <v>0</v>
          </cell>
          <cell r="Z144">
            <v>20404778.479551069</v>
          </cell>
          <cell r="AA144">
            <v>24577704.680767775</v>
          </cell>
          <cell r="AB144">
            <v>5849097.8393936213</v>
          </cell>
          <cell r="AC144">
            <v>196275.3077133318</v>
          </cell>
          <cell r="AD144">
            <v>-16187684.219567157</v>
          </cell>
          <cell r="AE144">
            <v>5744479.6600000001</v>
          </cell>
          <cell r="AF144">
            <v>2365481.1295726909</v>
          </cell>
          <cell r="AG144">
            <v>594836.36</v>
          </cell>
          <cell r="AH144">
            <v>0</v>
          </cell>
          <cell r="AI144">
            <v>-75216459.204166666</v>
          </cell>
          <cell r="AJ144">
            <v>0</v>
          </cell>
          <cell r="AK144">
            <v>13022790.805512942</v>
          </cell>
          <cell r="AL144">
            <v>-3414437.26</v>
          </cell>
          <cell r="AM144">
            <v>25355952</v>
          </cell>
          <cell r="AN144">
            <v>2152410.2668287596</v>
          </cell>
          <cell r="AO144">
            <v>-15841.739999958399</v>
          </cell>
          <cell r="AP144">
            <v>107296.12999999999</v>
          </cell>
          <cell r="AQ144">
            <v>3513276.29</v>
          </cell>
          <cell r="AR144">
            <v>-38700.769999999997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-1010651.6899999976</v>
          </cell>
          <cell r="BA144">
            <v>692571.5</v>
          </cell>
          <cell r="BB144">
            <v>1788912.1059220019</v>
          </cell>
          <cell r="BC144">
            <v>0</v>
          </cell>
          <cell r="BD144">
            <v>0</v>
          </cell>
          <cell r="BE144">
            <v>-38679206.32</v>
          </cell>
          <cell r="BF144">
            <v>22308396.309999999</v>
          </cell>
          <cell r="BI144">
            <v>-75359865.69416666</v>
          </cell>
          <cell r="BJ144">
            <v>-175463.89118358493</v>
          </cell>
          <cell r="BK144">
            <v>24510230.648400001</v>
          </cell>
          <cell r="BL144">
            <v>-1704921.3699999973</v>
          </cell>
          <cell r="BM144">
            <v>128534045.99651852</v>
          </cell>
          <cell r="BN144">
            <v>75804025.689568549</v>
          </cell>
          <cell r="BO144">
            <v>1788912.1059220019</v>
          </cell>
          <cell r="BP144">
            <v>77592937.795490533</v>
          </cell>
          <cell r="BQ144">
            <v>-10398375.559999999</v>
          </cell>
          <cell r="BR144">
            <v>87991313.355490595</v>
          </cell>
          <cell r="BS144" t="str">
            <v>CF OK</v>
          </cell>
          <cell r="BZ144">
            <v>0</v>
          </cell>
          <cell r="CA144">
            <v>0</v>
          </cell>
          <cell r="CC144">
            <v>0</v>
          </cell>
          <cell r="CE144">
            <v>329422604.87522757</v>
          </cell>
        </row>
        <row r="146">
          <cell r="A146" t="str">
            <v xml:space="preserve">Less Current Year State Net Operating Loss Utilization </v>
          </cell>
          <cell r="D146" t="str">
            <v>Separate Schedule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-9229876.5427051838</v>
          </cell>
          <cell r="U146">
            <v>-3563777.0526105426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-20404778.479551069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-13022790.805512942</v>
          </cell>
          <cell r="AL146">
            <v>0</v>
          </cell>
          <cell r="AM146">
            <v>-25355952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-71577174.880379736</v>
          </cell>
          <cell r="BN146">
            <v>-71577174.880379736</v>
          </cell>
          <cell r="BO146">
            <v>0</v>
          </cell>
          <cell r="BP146">
            <v>-71577174.880379736</v>
          </cell>
          <cell r="BQ146">
            <v>-25355952</v>
          </cell>
          <cell r="BR146">
            <v>-46221222.880379736</v>
          </cell>
          <cell r="BS146" t="str">
            <v>CF OK</v>
          </cell>
          <cell r="CE146">
            <v>-71577174.880379736</v>
          </cell>
        </row>
        <row r="148">
          <cell r="A148" t="str">
            <v xml:space="preserve">State Current Taxable Income After NOL </v>
          </cell>
          <cell r="F148">
            <v>1069602.7212500079</v>
          </cell>
          <cell r="G148">
            <v>-175463.89118358493</v>
          </cell>
          <cell r="H148">
            <v>3731247.6484000026</v>
          </cell>
          <cell r="I148">
            <v>20778983</v>
          </cell>
          <cell r="J148">
            <v>364862.23428088101</v>
          </cell>
          <cell r="K148">
            <v>6045363.1762502789</v>
          </cell>
          <cell r="L148">
            <v>-3656682.7800000003</v>
          </cell>
          <cell r="M148">
            <v>-409066.22000000312</v>
          </cell>
          <cell r="N148">
            <v>521338.35999999987</v>
          </cell>
          <cell r="O148">
            <v>-1386841.18</v>
          </cell>
          <cell r="P148">
            <v>17198.61</v>
          </cell>
          <cell r="Q148">
            <v>-44728.929600000003</v>
          </cell>
          <cell r="R148">
            <v>13120399.856111815</v>
          </cell>
          <cell r="S148">
            <v>287978.83178033039</v>
          </cell>
          <cell r="T148">
            <v>36919506.170820735</v>
          </cell>
          <cell r="U148">
            <v>0</v>
          </cell>
          <cell r="V148">
            <v>1212129.3355801031</v>
          </cell>
          <cell r="W148">
            <v>-7707820.4050443601</v>
          </cell>
          <cell r="X148">
            <v>0</v>
          </cell>
          <cell r="Y148">
            <v>0</v>
          </cell>
          <cell r="Z148">
            <v>0</v>
          </cell>
          <cell r="AA148">
            <v>24577704.680767775</v>
          </cell>
          <cell r="AB148">
            <v>5849097.8393936213</v>
          </cell>
          <cell r="AC148">
            <v>196275.3077133318</v>
          </cell>
          <cell r="AD148">
            <v>-16187684.219567157</v>
          </cell>
          <cell r="AE148">
            <v>5744479.6600000001</v>
          </cell>
          <cell r="AF148">
            <v>2365481.1295726909</v>
          </cell>
          <cell r="AG148">
            <v>594836.36</v>
          </cell>
          <cell r="AH148">
            <v>0</v>
          </cell>
          <cell r="AI148">
            <v>-75216459.204166666</v>
          </cell>
          <cell r="AJ148">
            <v>0</v>
          </cell>
          <cell r="AK148">
            <v>0</v>
          </cell>
          <cell r="AL148">
            <v>-3414437.26</v>
          </cell>
          <cell r="AM148">
            <v>0</v>
          </cell>
          <cell r="AN148">
            <v>2152410.2668287596</v>
          </cell>
          <cell r="AO148">
            <v>-15841.739999958399</v>
          </cell>
          <cell r="AP148">
            <v>107296.12999999999</v>
          </cell>
          <cell r="AQ148">
            <v>3513276.29</v>
          </cell>
          <cell r="AR148">
            <v>-38700.769999999997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-1010651.6899999976</v>
          </cell>
          <cell r="BA148">
            <v>692571.5</v>
          </cell>
          <cell r="BB148">
            <v>1788912.1059220019</v>
          </cell>
          <cell r="BC148">
            <v>0</v>
          </cell>
          <cell r="BD148">
            <v>0</v>
          </cell>
          <cell r="BE148">
            <v>-38679206.32</v>
          </cell>
          <cell r="BF148">
            <v>22308396.309999999</v>
          </cell>
          <cell r="BI148">
            <v>-75359865.69416666</v>
          </cell>
          <cell r="BJ148">
            <v>-175463.89118358493</v>
          </cell>
          <cell r="BK148">
            <v>24510230.648400001</v>
          </cell>
          <cell r="BL148">
            <v>-1704921.3699999973</v>
          </cell>
          <cell r="BM148">
            <v>56956871.116138786</v>
          </cell>
          <cell r="BN148">
            <v>4226850.809188813</v>
          </cell>
          <cell r="BO148">
            <v>1788912.1059220019</v>
          </cell>
          <cell r="BP148">
            <v>6015762.9151107967</v>
          </cell>
          <cell r="BQ148">
            <v>-35754327.560000002</v>
          </cell>
          <cell r="BR148">
            <v>41770090.475110859</v>
          </cell>
          <cell r="BS148" t="str">
            <v>CF OK</v>
          </cell>
          <cell r="BZ148">
            <v>0</v>
          </cell>
          <cell r="CA148">
            <v>0</v>
          </cell>
          <cell r="CC148">
            <v>0</v>
          </cell>
          <cell r="CE148">
            <v>257845429.99484783</v>
          </cell>
        </row>
        <row r="150">
          <cell r="A150" t="str">
            <v>State Statutory Rate * Apportion % (Provide Support in Report FIle)</v>
          </cell>
          <cell r="F150">
            <v>6.6500000000000004E-2</v>
          </cell>
          <cell r="G150">
            <v>0</v>
          </cell>
          <cell r="H150">
            <v>7.7189999999999995E-2</v>
          </cell>
          <cell r="I150">
            <v>7.7189999999999995E-2</v>
          </cell>
          <cell r="J150">
            <v>8.6300000000000002E-2</v>
          </cell>
          <cell r="K150">
            <v>8.6300000000000002E-2</v>
          </cell>
          <cell r="L150">
            <v>0.09</v>
          </cell>
          <cell r="M150">
            <v>0.09</v>
          </cell>
          <cell r="N150">
            <v>0.09</v>
          </cell>
          <cell r="O150">
            <v>0</v>
          </cell>
          <cell r="P150">
            <v>0.09</v>
          </cell>
          <cell r="Q150">
            <v>0</v>
          </cell>
          <cell r="R150">
            <v>0.06</v>
          </cell>
          <cell r="S150">
            <v>8.2500000000000004E-2</v>
          </cell>
          <cell r="T150">
            <v>9.9900000000000003E-2</v>
          </cell>
          <cell r="U150">
            <v>6.5000000000000002E-2</v>
          </cell>
          <cell r="V150">
            <v>0</v>
          </cell>
          <cell r="W150">
            <v>7.7499999999999999E-2</v>
          </cell>
          <cell r="X150">
            <v>0</v>
          </cell>
          <cell r="Y150">
            <v>0</v>
          </cell>
          <cell r="Z150">
            <v>7.0000000000000007E-2</v>
          </cell>
          <cell r="AA150">
            <v>8.2500000000000004E-2</v>
          </cell>
          <cell r="AB150">
            <v>0.12</v>
          </cell>
          <cell r="AC150">
            <v>0.06</v>
          </cell>
          <cell r="AD150">
            <v>6.25E-2</v>
          </cell>
          <cell r="AE150">
            <v>0</v>
          </cell>
          <cell r="AF150">
            <v>7.0000000000000007E-2</v>
          </cell>
          <cell r="AG150">
            <v>0</v>
          </cell>
          <cell r="AI150">
            <v>0</v>
          </cell>
          <cell r="AJ150">
            <v>0.09</v>
          </cell>
          <cell r="AK150">
            <v>8.8400000000000006E-2</v>
          </cell>
          <cell r="AL150">
            <v>6.3E-2</v>
          </cell>
          <cell r="AM150">
            <v>6.9680000000000006E-2</v>
          </cell>
          <cell r="AN150">
            <v>6.4000000000000001E-2</v>
          </cell>
          <cell r="AO150">
            <v>0.09</v>
          </cell>
          <cell r="AP150">
            <v>6.9680000000000006E-2</v>
          </cell>
          <cell r="AQ150">
            <v>0.09</v>
          </cell>
          <cell r="AR150">
            <v>0.09</v>
          </cell>
          <cell r="AS150">
            <v>0</v>
          </cell>
          <cell r="AT150">
            <v>0</v>
          </cell>
          <cell r="AU150">
            <v>0.09</v>
          </cell>
          <cell r="AV150">
            <v>0.09</v>
          </cell>
          <cell r="AW150">
            <v>0.09</v>
          </cell>
          <cell r="AX150">
            <v>0</v>
          </cell>
          <cell r="AY150">
            <v>0</v>
          </cell>
          <cell r="AZ150">
            <v>0</v>
          </cell>
          <cell r="BA150">
            <v>5.586E-2</v>
          </cell>
          <cell r="BB150">
            <v>0</v>
          </cell>
          <cell r="BC150">
            <v>0</v>
          </cell>
          <cell r="BD150">
            <v>0</v>
          </cell>
          <cell r="BE150">
            <v>6.1499999999999999E-2</v>
          </cell>
          <cell r="BF150">
            <v>6.1499999999999999E-2</v>
          </cell>
          <cell r="BZ150">
            <v>6.1499999999999999E-2</v>
          </cell>
          <cell r="CA150">
            <v>0</v>
          </cell>
          <cell r="CC150">
            <v>6.1499999999999999E-2</v>
          </cell>
          <cell r="DK150">
            <v>150</v>
          </cell>
        </row>
        <row r="152">
          <cell r="A152" t="str">
            <v xml:space="preserve"> State Current Tax Provision</v>
          </cell>
          <cell r="F152">
            <v>53876.186528988183</v>
          </cell>
          <cell r="G152">
            <v>0</v>
          </cell>
          <cell r="H152">
            <v>294495.84729862743</v>
          </cell>
          <cell r="I152">
            <v>1611745.3730712514</v>
          </cell>
          <cell r="J152">
            <v>31487.610818440033</v>
          </cell>
          <cell r="K152">
            <v>521714.8421103991</v>
          </cell>
          <cell r="L152">
            <v>0</v>
          </cell>
          <cell r="M152">
            <v>-36815.959800000281</v>
          </cell>
          <cell r="N152">
            <v>46920.452399999987</v>
          </cell>
          <cell r="O152">
            <v>0</v>
          </cell>
          <cell r="P152">
            <v>1547.8749</v>
          </cell>
          <cell r="Q152">
            <v>0</v>
          </cell>
          <cell r="R152">
            <v>787223.99136670888</v>
          </cell>
          <cell r="S152">
            <v>23758.253621877258</v>
          </cell>
          <cell r="T152">
            <v>3688258.6664649914</v>
          </cell>
          <cell r="U152">
            <v>0</v>
          </cell>
          <cell r="V152">
            <v>0</v>
          </cell>
          <cell r="W152">
            <v>-597356.08139093791</v>
          </cell>
          <cell r="X152">
            <v>0</v>
          </cell>
          <cell r="Y152">
            <v>0</v>
          </cell>
          <cell r="Z152">
            <v>0</v>
          </cell>
          <cell r="AA152">
            <v>2027660.6361633416</v>
          </cell>
          <cell r="AB152">
            <v>701891.74072723452</v>
          </cell>
          <cell r="AC152">
            <v>11776.518462799908</v>
          </cell>
          <cell r="AD152">
            <v>-1011730.2637229473</v>
          </cell>
          <cell r="AE152">
            <v>0</v>
          </cell>
          <cell r="AF152">
            <v>165583.67907008837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-215109.54737999997</v>
          </cell>
          <cell r="AM152">
            <v>0</v>
          </cell>
          <cell r="AN152">
            <v>137754.25707704062</v>
          </cell>
          <cell r="AO152">
            <v>-1288.5965999962559</v>
          </cell>
          <cell r="AP152">
            <v>7476.3943384000004</v>
          </cell>
          <cell r="AQ152">
            <v>0</v>
          </cell>
          <cell r="AR152">
            <v>-3483.0692999999997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38687.043989999998</v>
          </cell>
          <cell r="BB152">
            <v>0</v>
          </cell>
          <cell r="BC152">
            <v>0</v>
          </cell>
          <cell r="BD152">
            <v>0</v>
          </cell>
          <cell r="BE152">
            <v>-2378771.1886800001</v>
          </cell>
          <cell r="BF152">
            <v>1371966.3730649999</v>
          </cell>
          <cell r="BI152">
            <v>0</v>
          </cell>
          <cell r="BJ152">
            <v>0</v>
          </cell>
          <cell r="BK152">
            <v>1906241.2203698789</v>
          </cell>
          <cell r="BL152">
            <v>38687.043989999998</v>
          </cell>
          <cell r="BM152">
            <v>5334342.7702414272</v>
          </cell>
          <cell r="BN152">
            <v>7279271.0346013065</v>
          </cell>
          <cell r="BO152">
            <v>0</v>
          </cell>
          <cell r="BP152">
            <v>7279271.0346013065</v>
          </cell>
          <cell r="BQ152">
            <v>-2593880.73606</v>
          </cell>
          <cell r="BR152">
            <v>9873151.7706613056</v>
          </cell>
          <cell r="BS152" t="str">
            <v>CF OK</v>
          </cell>
          <cell r="BZ152">
            <v>0</v>
          </cell>
          <cell r="CA152">
            <v>0</v>
          </cell>
          <cell r="CC152">
            <v>0</v>
          </cell>
          <cell r="CE152">
            <v>7279271.0346013065</v>
          </cell>
        </row>
        <row r="153">
          <cell r="A153" t="str">
            <v xml:space="preserve"> State Current Tax Provision - Unitary</v>
          </cell>
          <cell r="D153" t="str">
            <v>Separate Schedule</v>
          </cell>
          <cell r="AH153">
            <v>491443.87166115514</v>
          </cell>
          <cell r="AI153">
            <v>0</v>
          </cell>
          <cell r="BI153">
            <v>491443.87166115514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491443.87166115514</v>
          </cell>
          <cell r="BO153">
            <v>0</v>
          </cell>
          <cell r="BP153">
            <v>491443.87166115514</v>
          </cell>
          <cell r="BQ153">
            <v>0</v>
          </cell>
          <cell r="BR153">
            <v>491443.87166115514</v>
          </cell>
          <cell r="BS153" t="str">
            <v>CF OK</v>
          </cell>
        </row>
        <row r="155">
          <cell r="A155" t="str">
            <v>Reclass Current Year Loss Benefit to Deferred (Verify)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36815.959800000281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597356.08139093791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1011730.2637229473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215109.54737999997</v>
          </cell>
          <cell r="AM155">
            <v>0</v>
          </cell>
          <cell r="AN155">
            <v>0</v>
          </cell>
          <cell r="AO155">
            <v>1288.5965999962559</v>
          </cell>
          <cell r="AP155">
            <v>0</v>
          </cell>
          <cell r="AQ155">
            <v>0</v>
          </cell>
          <cell r="AR155">
            <v>3483.0692999999997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2378771.1886800001</v>
          </cell>
          <cell r="BF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4244554.7068738816</v>
          </cell>
          <cell r="BN155">
            <v>4244554.7068738816</v>
          </cell>
          <cell r="BO155">
            <v>0</v>
          </cell>
          <cell r="BP155">
            <v>4244554.7068738816</v>
          </cell>
          <cell r="BQ155">
            <v>2593880.73606</v>
          </cell>
          <cell r="BR155">
            <v>1650673.9708138816</v>
          </cell>
          <cell r="BS155">
            <v>0</v>
          </cell>
          <cell r="BZ155">
            <v>0</v>
          </cell>
          <cell r="CA155">
            <v>0</v>
          </cell>
          <cell r="CC155">
            <v>0</v>
          </cell>
          <cell r="CE155">
            <v>4244554.7068738816</v>
          </cell>
          <cell r="DK155">
            <v>155</v>
          </cell>
        </row>
        <row r="157">
          <cell r="A157" t="str">
            <v>State AMT Credit Current Utilization (coordinate with Deferred)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CC157">
            <v>0</v>
          </cell>
          <cell r="CE157">
            <v>0</v>
          </cell>
        </row>
        <row r="158">
          <cell r="A158" t="str">
            <v>Current Year State NOL Usage - See State NOL Analysis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CC158">
            <v>0</v>
          </cell>
          <cell r="CE158">
            <v>0</v>
          </cell>
        </row>
        <row r="159">
          <cell r="A159" t="str">
            <v>State NOL Reclass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CC159">
            <v>0</v>
          </cell>
          <cell r="CE159">
            <v>0</v>
          </cell>
        </row>
        <row r="160">
          <cell r="A160" t="str">
            <v>State Valuation Allowance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Z160">
            <v>0</v>
          </cell>
          <cell r="CC160">
            <v>0</v>
          </cell>
          <cell r="CE160">
            <v>0</v>
          </cell>
        </row>
        <row r="161">
          <cell r="A161" t="str">
            <v>Form 1120 P2R Current State Tax Expense - PERM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Z161">
            <v>0</v>
          </cell>
          <cell r="CC161">
            <v>0</v>
          </cell>
          <cell r="CE161">
            <v>0</v>
          </cell>
        </row>
        <row r="162">
          <cell r="A162" t="str">
            <v>Form 1120 P2R Current State Tax Expense - TEMP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Z162">
            <v>0</v>
          </cell>
          <cell r="CC162">
            <v>0</v>
          </cell>
          <cell r="CE162">
            <v>0</v>
          </cell>
        </row>
        <row r="163">
          <cell r="A163" t="str">
            <v>State TR P2R Current State Tax Expense - PERM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CC163">
            <v>0</v>
          </cell>
          <cell r="CE163">
            <v>0</v>
          </cell>
        </row>
        <row r="164">
          <cell r="A164" t="str">
            <v>Total State Current Tax Expense/(Benefit)</v>
          </cell>
          <cell r="F164">
            <v>53876.186528988183</v>
          </cell>
          <cell r="G164">
            <v>0</v>
          </cell>
          <cell r="H164">
            <v>294495.84729862743</v>
          </cell>
          <cell r="I164">
            <v>1611745.3730712514</v>
          </cell>
          <cell r="J164">
            <v>31487.610818440033</v>
          </cell>
          <cell r="K164">
            <v>521714.8421103991</v>
          </cell>
          <cell r="L164">
            <v>0</v>
          </cell>
          <cell r="M164">
            <v>0</v>
          </cell>
          <cell r="N164">
            <v>46920.452399999987</v>
          </cell>
          <cell r="O164">
            <v>0</v>
          </cell>
          <cell r="P164">
            <v>1547.8749</v>
          </cell>
          <cell r="Q164">
            <v>0</v>
          </cell>
          <cell r="R164">
            <v>787223.99136670888</v>
          </cell>
          <cell r="S164">
            <v>23758.253621877258</v>
          </cell>
          <cell r="T164">
            <v>3688258.6664649914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2027660.6361633416</v>
          </cell>
          <cell r="AB164">
            <v>701891.74072723452</v>
          </cell>
          <cell r="AC164">
            <v>11776.518462799908</v>
          </cell>
          <cell r="AD164">
            <v>0</v>
          </cell>
          <cell r="AE164">
            <v>0</v>
          </cell>
          <cell r="AF164">
            <v>165583.67907008837</v>
          </cell>
          <cell r="AG164">
            <v>0</v>
          </cell>
          <cell r="AH164">
            <v>491443.87166115514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137754.25707704062</v>
          </cell>
          <cell r="AO164">
            <v>0</v>
          </cell>
          <cell r="AP164">
            <v>7476.3943384000004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38687.043989999998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1371966.3730649999</v>
          </cell>
          <cell r="BI164">
            <v>491443.87166115514</v>
          </cell>
          <cell r="BJ164">
            <v>0</v>
          </cell>
          <cell r="BK164">
            <v>1906241.2203698789</v>
          </cell>
          <cell r="BL164">
            <v>38687.043989999998</v>
          </cell>
          <cell r="BM164">
            <v>9578897.4771153089</v>
          </cell>
          <cell r="BN164">
            <v>12015269.613136344</v>
          </cell>
          <cell r="BO164">
            <v>0</v>
          </cell>
          <cell r="BP164">
            <v>12015269.613136344</v>
          </cell>
          <cell r="BQ164">
            <v>0</v>
          </cell>
          <cell r="BR164">
            <v>12015269.613136342</v>
          </cell>
          <cell r="BS164">
            <v>0</v>
          </cell>
          <cell r="BZ164">
            <v>0</v>
          </cell>
          <cell r="CA164">
            <v>0</v>
          </cell>
          <cell r="CC164">
            <v>0</v>
          </cell>
          <cell r="CE164">
            <v>11523825.741475187</v>
          </cell>
        </row>
        <row r="166">
          <cell r="A166" t="str">
            <v xml:space="preserve">Federal Current Taxable Income (Before NOL) </v>
          </cell>
          <cell r="F166">
            <v>-6900000.3752789805</v>
          </cell>
          <cell r="G166">
            <v>-175463.89118358493</v>
          </cell>
          <cell r="H166">
            <v>3438467.0511013754</v>
          </cell>
          <cell r="I166">
            <v>19167237.626928747</v>
          </cell>
          <cell r="J166">
            <v>-3420857.573604241</v>
          </cell>
          <cell r="K166">
            <v>5344425.4636480734</v>
          </cell>
          <cell r="L166">
            <v>-3656682.7800000003</v>
          </cell>
          <cell r="M166">
            <v>-409066.22000000312</v>
          </cell>
          <cell r="N166">
            <v>474417.90759999986</v>
          </cell>
          <cell r="O166">
            <v>-1386841.18</v>
          </cell>
          <cell r="P166">
            <v>15650.7351</v>
          </cell>
          <cell r="Q166">
            <v>-44728.929600000003</v>
          </cell>
          <cell r="R166">
            <v>13229144.354745107</v>
          </cell>
          <cell r="S166">
            <v>-88078.023534917593</v>
          </cell>
          <cell r="T166">
            <v>-49651613.269151576</v>
          </cell>
          <cell r="U166">
            <v>-785216.79791558441</v>
          </cell>
          <cell r="V166">
            <v>1212129.3355801031</v>
          </cell>
          <cell r="W166">
            <v>-7707820.4050443601</v>
          </cell>
          <cell r="X166">
            <v>0</v>
          </cell>
          <cell r="Y166">
            <v>0</v>
          </cell>
          <cell r="Z166">
            <v>330453.73489394784</v>
          </cell>
          <cell r="AA166">
            <v>6481867.1679226132</v>
          </cell>
          <cell r="AB166">
            <v>2727049.7068423042</v>
          </cell>
          <cell r="AC166">
            <v>10677.78210512274</v>
          </cell>
          <cell r="AD166">
            <v>-16081127.799567148</v>
          </cell>
          <cell r="AE166">
            <v>5744479.6600000001</v>
          </cell>
          <cell r="AF166">
            <v>2183280.8239026028</v>
          </cell>
          <cell r="AG166">
            <v>594836.36</v>
          </cell>
          <cell r="AH166">
            <v>-491443.87166115514</v>
          </cell>
          <cell r="AI166">
            <v>-75216459.204166666</v>
          </cell>
          <cell r="AJ166">
            <v>0</v>
          </cell>
          <cell r="AK166">
            <v>8465954.2890128046</v>
          </cell>
          <cell r="AL166">
            <v>-3414437.26</v>
          </cell>
          <cell r="AM166">
            <v>25355952</v>
          </cell>
          <cell r="AN166">
            <v>1683944.6698352019</v>
          </cell>
          <cell r="AO166">
            <v>-15841.739999958399</v>
          </cell>
          <cell r="AP166">
            <v>99819.735661599989</v>
          </cell>
          <cell r="AQ166">
            <v>3513276.29</v>
          </cell>
          <cell r="AR166">
            <v>-38700.769999999997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-1010651.6899999976</v>
          </cell>
          <cell r="BA166">
            <v>653884.45600999997</v>
          </cell>
          <cell r="BB166">
            <v>1788912.1059220019</v>
          </cell>
          <cell r="BC166">
            <v>0</v>
          </cell>
          <cell r="BD166">
            <v>0</v>
          </cell>
          <cell r="BE166">
            <v>-38679206.32</v>
          </cell>
          <cell r="BF166">
            <v>20936429.936935</v>
          </cell>
          <cell r="BI166">
            <v>-75851309.565827817</v>
          </cell>
          <cell r="BJ166">
            <v>-175463.89118358493</v>
          </cell>
          <cell r="BK166">
            <v>22605704.678030122</v>
          </cell>
          <cell r="BL166">
            <v>-1743608.4139899972</v>
          </cell>
          <cell r="BM166">
            <v>-32346181.819912352</v>
          </cell>
          <cell r="BN166">
            <v>-87510859.012883365</v>
          </cell>
          <cell r="BO166">
            <v>1788912.1059220019</v>
          </cell>
          <cell r="BP166">
            <v>-85721946.906961381</v>
          </cell>
          <cell r="BQ166">
            <v>-10398375.559999999</v>
          </cell>
          <cell r="BR166">
            <v>-75323571.346961305</v>
          </cell>
          <cell r="BS166">
            <v>0</v>
          </cell>
          <cell r="BZ166">
            <v>0</v>
          </cell>
          <cell r="CA166">
            <v>0</v>
          </cell>
          <cell r="CC166">
            <v>0</v>
          </cell>
          <cell r="CE166">
            <v>166599164.04443678</v>
          </cell>
        </row>
        <row r="168">
          <cell r="A168" t="str">
            <v>Less Current Year Capital Loss Utilization</v>
          </cell>
          <cell r="D168" t="str">
            <v>Separate Schedule</v>
          </cell>
          <cell r="AZ168">
            <v>0</v>
          </cell>
          <cell r="BA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CE168">
            <v>0</v>
          </cell>
        </row>
        <row r="170">
          <cell r="A170" t="str">
            <v xml:space="preserve">Federal Current Taxable Income (After NOL) </v>
          </cell>
          <cell r="F170">
            <v>-6900000.3752789805</v>
          </cell>
          <cell r="G170">
            <v>-175463.89118358493</v>
          </cell>
          <cell r="H170">
            <v>3438467.0511013754</v>
          </cell>
          <cell r="I170">
            <v>19167237.626928747</v>
          </cell>
          <cell r="J170">
            <v>-3420857.573604241</v>
          </cell>
          <cell r="K170">
            <v>5344425.4636480734</v>
          </cell>
          <cell r="L170">
            <v>-3656682.7800000003</v>
          </cell>
          <cell r="M170">
            <v>-409066.22000000312</v>
          </cell>
          <cell r="N170">
            <v>474417.90759999986</v>
          </cell>
          <cell r="O170">
            <v>-1386841.18</v>
          </cell>
          <cell r="P170">
            <v>15650.7351</v>
          </cell>
          <cell r="Q170">
            <v>-44728.929600000003</v>
          </cell>
          <cell r="R170">
            <v>13229144.354745107</v>
          </cell>
          <cell r="S170">
            <v>-88078.023534917593</v>
          </cell>
          <cell r="T170">
            <v>-49651613.269151576</v>
          </cell>
          <cell r="U170">
            <v>-785216.79791558441</v>
          </cell>
          <cell r="V170">
            <v>1212129.3355801031</v>
          </cell>
          <cell r="W170">
            <v>-7707820.4050443601</v>
          </cell>
          <cell r="X170">
            <v>0</v>
          </cell>
          <cell r="Y170">
            <v>0</v>
          </cell>
          <cell r="Z170">
            <v>330453.73489394784</v>
          </cell>
          <cell r="AA170">
            <v>6481867.1679226132</v>
          </cell>
          <cell r="AB170">
            <v>2727049.7068423042</v>
          </cell>
          <cell r="AC170">
            <v>10677.78210512274</v>
          </cell>
          <cell r="AD170">
            <v>-16081127.799567148</v>
          </cell>
          <cell r="AE170">
            <v>5744479.6600000001</v>
          </cell>
          <cell r="AF170">
            <v>2183280.8239026028</v>
          </cell>
          <cell r="AG170">
            <v>594836.36</v>
          </cell>
          <cell r="AH170">
            <v>-491443.87166115514</v>
          </cell>
          <cell r="AI170">
            <v>-75216459.204166666</v>
          </cell>
          <cell r="AJ170">
            <v>0</v>
          </cell>
          <cell r="AK170">
            <v>8465954.2890128046</v>
          </cell>
          <cell r="AL170">
            <v>-3414437.26</v>
          </cell>
          <cell r="AM170">
            <v>25355952</v>
          </cell>
          <cell r="AN170">
            <v>1683944.6698352019</v>
          </cell>
          <cell r="AO170">
            <v>-15841.739999958399</v>
          </cell>
          <cell r="AP170">
            <v>99819.735661599989</v>
          </cell>
          <cell r="AQ170">
            <v>3513276.29</v>
          </cell>
          <cell r="AR170">
            <v>-38700.769999999997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-1010651.6899999976</v>
          </cell>
          <cell r="BA170">
            <v>653884.45600999997</v>
          </cell>
          <cell r="BB170">
            <v>1788912.1059220019</v>
          </cell>
          <cell r="BC170">
            <v>0</v>
          </cell>
          <cell r="BD170">
            <v>0</v>
          </cell>
          <cell r="BE170">
            <v>-38679206.32</v>
          </cell>
          <cell r="BF170">
            <v>20936429.936935</v>
          </cell>
          <cell r="BI170">
            <v>-75851309.565827817</v>
          </cell>
          <cell r="BJ170">
            <v>-175463.89118358493</v>
          </cell>
          <cell r="BK170">
            <v>22605704.678030122</v>
          </cell>
          <cell r="BL170">
            <v>-1743608.4139899972</v>
          </cell>
          <cell r="BM170">
            <v>-32346181.819912352</v>
          </cell>
          <cell r="BN170">
            <v>-87510859.012883365</v>
          </cell>
          <cell r="BO170">
            <v>1788912.1059220019</v>
          </cell>
          <cell r="BP170">
            <v>-85721946.906961381</v>
          </cell>
          <cell r="BQ170">
            <v>-10398375.559999999</v>
          </cell>
          <cell r="BR170">
            <v>-75323571.346961305</v>
          </cell>
          <cell r="BS170">
            <v>0</v>
          </cell>
          <cell r="BU170" t="str">
            <v>FIT NOL Test</v>
          </cell>
          <cell r="BV170" t="str">
            <v>US CY Loss?</v>
          </cell>
          <cell r="BW170" t="str">
            <v>CD CY Loss?</v>
          </cell>
          <cell r="BZ170">
            <v>0</v>
          </cell>
          <cell r="CA170">
            <v>0</v>
          </cell>
          <cell r="CC170">
            <v>0</v>
          </cell>
          <cell r="CE170">
            <v>166599164.04443678</v>
          </cell>
        </row>
        <row r="172">
          <cell r="A172" t="str">
            <v>Reclass Current Year Loss Benefit to Deferred (Verify)</v>
          </cell>
          <cell r="F172">
            <v>2886708.0645904695</v>
          </cell>
          <cell r="G172">
            <v>73407.681474741927</v>
          </cell>
          <cell r="H172">
            <v>0</v>
          </cell>
          <cell r="I172">
            <v>0</v>
          </cell>
          <cell r="J172">
            <v>1431161.8273121445</v>
          </cell>
          <cell r="K172">
            <v>0</v>
          </cell>
          <cell r="L172">
            <v>1529822.477763026</v>
          </cell>
          <cell r="M172">
            <v>171138.36115955343</v>
          </cell>
          <cell r="N172">
            <v>0</v>
          </cell>
          <cell r="O172">
            <v>580203.68128607492</v>
          </cell>
          <cell r="P172">
            <v>0</v>
          </cell>
          <cell r="Q172">
            <v>18712.949967281533</v>
          </cell>
          <cell r="R172">
            <v>0</v>
          </cell>
          <cell r="S172">
            <v>36848.627104771098</v>
          </cell>
          <cell r="T172">
            <v>20772420.96355566</v>
          </cell>
          <cell r="U172">
            <v>328506.02024832147</v>
          </cell>
          <cell r="V172">
            <v>0</v>
          </cell>
          <cell r="W172">
            <v>3224670.4512326801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6727756.3452079613</v>
          </cell>
          <cell r="AE172">
            <v>0</v>
          </cell>
          <cell r="AF172">
            <v>0</v>
          </cell>
          <cell r="AG172">
            <v>0</v>
          </cell>
          <cell r="AH172">
            <v>205602.16093618129</v>
          </cell>
          <cell r="AI172">
            <v>31467818.487738714</v>
          </cell>
          <cell r="AJ172">
            <v>0</v>
          </cell>
          <cell r="AK172">
            <v>0</v>
          </cell>
          <cell r="AL172">
            <v>1428475.8026671365</v>
          </cell>
          <cell r="AM172">
            <v>0</v>
          </cell>
          <cell r="AN172">
            <v>0</v>
          </cell>
          <cell r="AO172">
            <v>6627.6052359165797</v>
          </cell>
          <cell r="AP172">
            <v>0</v>
          </cell>
          <cell r="AQ172">
            <v>0</v>
          </cell>
          <cell r="AR172">
            <v>16190.988230249757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422819.74280284322</v>
          </cell>
          <cell r="BA172">
            <v>0</v>
          </cell>
          <cell r="BB172">
            <v>20686</v>
          </cell>
          <cell r="BC172">
            <v>0</v>
          </cell>
          <cell r="BD172">
            <v>0</v>
          </cell>
          <cell r="BE172">
            <v>16181966.774369661</v>
          </cell>
          <cell r="BF172">
            <v>0</v>
          </cell>
          <cell r="BI172">
            <v>33203243.126437921</v>
          </cell>
          <cell r="BJ172">
            <v>73407.681474741927</v>
          </cell>
          <cell r="BK172">
            <v>0</v>
          </cell>
          <cell r="BL172">
            <v>1003023.4240889181</v>
          </cell>
          <cell r="BM172">
            <v>53231184.780881807</v>
          </cell>
          <cell r="BN172">
            <v>87510859.012883395</v>
          </cell>
          <cell r="BO172">
            <v>20686</v>
          </cell>
          <cell r="BP172">
            <v>87531545.012883395</v>
          </cell>
          <cell r="BQ172">
            <v>17610442.577036798</v>
          </cell>
          <cell r="BR172">
            <v>69921102.435846597</v>
          </cell>
          <cell r="BS172">
            <v>0</v>
          </cell>
          <cell r="BU172" t="str">
            <v>CY US Loss (Est 1120 Tax Loss Prior to AMT)</v>
          </cell>
          <cell r="BV172">
            <v>-87510859.01288338</v>
          </cell>
          <cell r="BZ172">
            <v>0</v>
          </cell>
          <cell r="CA172">
            <v>0</v>
          </cell>
          <cell r="CC172">
            <v>0</v>
          </cell>
          <cell r="CE172">
            <v>87531545.012883395</v>
          </cell>
          <cell r="DK172">
            <v>172</v>
          </cell>
        </row>
        <row r="173">
          <cell r="A173" t="str">
            <v>Reclass Current Year NOL Usage from Deferred - Utilization (Verify)</v>
          </cell>
          <cell r="D173" t="str">
            <v>Separate Schedule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-505910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-505910</v>
          </cell>
          <cell r="BP173">
            <v>-505910</v>
          </cell>
          <cell r="BQ173">
            <v>0</v>
          </cell>
          <cell r="BR173">
            <v>-505910</v>
          </cell>
          <cell r="BS173" t="str">
            <v xml:space="preserve"> </v>
          </cell>
          <cell r="BZ173" t="e">
            <v>#REF!</v>
          </cell>
          <cell r="CA173" t="e">
            <v>#REF!</v>
          </cell>
          <cell r="CC173" t="e">
            <v>#REF!</v>
          </cell>
          <cell r="CE173" t="e">
            <v>#REF!</v>
          </cell>
          <cell r="DK173">
            <v>173</v>
          </cell>
        </row>
        <row r="174">
          <cell r="BU174" t="str">
            <v>US Profit Co's</v>
          </cell>
          <cell r="BV174">
            <v>121663379.0878246</v>
          </cell>
        </row>
        <row r="175">
          <cell r="A175" t="str">
            <v>FCTI</v>
          </cell>
          <cell r="F175">
            <v>-4013292.310688511</v>
          </cell>
          <cell r="G175">
            <v>-102056.209708843</v>
          </cell>
          <cell r="H175">
            <v>3438467.0511013754</v>
          </cell>
          <cell r="I175">
            <v>19167237.626928747</v>
          </cell>
          <cell r="J175">
            <v>-1989695.7462920966</v>
          </cell>
          <cell r="K175">
            <v>5344425.4636480734</v>
          </cell>
          <cell r="L175">
            <v>-2126860.3022369742</v>
          </cell>
          <cell r="M175">
            <v>-237927.85884044968</v>
          </cell>
          <cell r="N175">
            <v>474417.90759999986</v>
          </cell>
          <cell r="O175">
            <v>-806637.49871392502</v>
          </cell>
          <cell r="P175">
            <v>15650.7351</v>
          </cell>
          <cell r="Q175">
            <v>-26015.97963271847</v>
          </cell>
          <cell r="R175">
            <v>13229144.354745107</v>
          </cell>
          <cell r="S175">
            <v>-51229.396430146495</v>
          </cell>
          <cell r="T175">
            <v>-28879192.305595916</v>
          </cell>
          <cell r="U175">
            <v>-456710.77766726294</v>
          </cell>
          <cell r="V175">
            <v>1212129.3355801031</v>
          </cell>
          <cell r="W175">
            <v>-4483149.95381168</v>
          </cell>
          <cell r="X175">
            <v>0</v>
          </cell>
          <cell r="Y175">
            <v>0</v>
          </cell>
          <cell r="Z175">
            <v>330453.73489394784</v>
          </cell>
          <cell r="AA175">
            <v>6481867.1679226132</v>
          </cell>
          <cell r="AB175">
            <v>2727049.7068423042</v>
          </cell>
          <cell r="AC175">
            <v>10677.78210512274</v>
          </cell>
          <cell r="AD175">
            <v>-9353371.4543591868</v>
          </cell>
          <cell r="AE175">
            <v>5744479.6600000001</v>
          </cell>
          <cell r="AF175">
            <v>2183280.8239026028</v>
          </cell>
          <cell r="AG175">
            <v>594836.36</v>
          </cell>
          <cell r="AH175">
            <v>-285841.71072497382</v>
          </cell>
          <cell r="AI175">
            <v>-43748640.716427952</v>
          </cell>
          <cell r="AJ175">
            <v>0</v>
          </cell>
          <cell r="AK175">
            <v>8465954.2890128046</v>
          </cell>
          <cell r="AL175">
            <v>-1985961.4573328632</v>
          </cell>
          <cell r="AM175">
            <v>25355952</v>
          </cell>
          <cell r="AN175">
            <v>1683944.6698352019</v>
          </cell>
          <cell r="AO175">
            <v>-9214.1347640418207</v>
          </cell>
          <cell r="AP175">
            <v>99819.735661599989</v>
          </cell>
          <cell r="AQ175">
            <v>3513276.29</v>
          </cell>
          <cell r="AR175">
            <v>-22509.78176975024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-587831.9471971544</v>
          </cell>
          <cell r="BA175">
            <v>653884.45600999997</v>
          </cell>
          <cell r="BB175">
            <v>1303688.1059220019</v>
          </cell>
          <cell r="BC175">
            <v>0</v>
          </cell>
          <cell r="BD175">
            <v>0</v>
          </cell>
          <cell r="BE175">
            <v>-22497239.54563034</v>
          </cell>
          <cell r="BF175">
            <v>20936429.936935</v>
          </cell>
          <cell r="BI175">
            <v>-42648066.439389899</v>
          </cell>
          <cell r="BJ175">
            <v>-102056.209708843</v>
          </cell>
          <cell r="BK175">
            <v>22605704.678030122</v>
          </cell>
          <cell r="BL175">
            <v>-740584.98990107945</v>
          </cell>
          <cell r="BM175">
            <v>20885002.960969519</v>
          </cell>
          <cell r="BN175">
            <v>-1.7881393432617188E-7</v>
          </cell>
          <cell r="BO175">
            <v>1303688.1059220019</v>
          </cell>
          <cell r="BP175">
            <v>1303688.1059218231</v>
          </cell>
          <cell r="BQ175">
            <v>7212067.0170367993</v>
          </cell>
          <cell r="BR175">
            <v>-5908378.9111149758</v>
          </cell>
          <cell r="BS175">
            <v>0</v>
          </cell>
          <cell r="BU175" t="str">
            <v>US Loss Co's</v>
          </cell>
          <cell r="BV175">
            <v>-209174238.10070816</v>
          </cell>
          <cell r="BZ175" t="e">
            <v>#REF!</v>
          </cell>
          <cell r="CA175" t="e">
            <v>#REF!</v>
          </cell>
          <cell r="CC175" t="e">
            <v>#REF!</v>
          </cell>
          <cell r="CE175" t="e">
            <v>#REF!</v>
          </cell>
        </row>
        <row r="177">
          <cell r="A177" t="str">
            <v>Federal Statutory Rate</v>
          </cell>
          <cell r="F177">
            <v>0.35</v>
          </cell>
          <cell r="G177">
            <v>0.35</v>
          </cell>
          <cell r="H177">
            <v>0.35</v>
          </cell>
          <cell r="I177">
            <v>0.35</v>
          </cell>
          <cell r="J177">
            <v>0.35</v>
          </cell>
          <cell r="K177">
            <v>0.35</v>
          </cell>
          <cell r="L177">
            <v>0.35</v>
          </cell>
          <cell r="M177">
            <v>0.35</v>
          </cell>
          <cell r="N177">
            <v>0.35</v>
          </cell>
          <cell r="O177">
            <v>0.35</v>
          </cell>
          <cell r="P177">
            <v>0.35</v>
          </cell>
          <cell r="Q177">
            <v>0.35</v>
          </cell>
          <cell r="R177">
            <v>0.35</v>
          </cell>
          <cell r="S177">
            <v>0.35</v>
          </cell>
          <cell r="T177">
            <v>0.35</v>
          </cell>
          <cell r="U177">
            <v>0.35</v>
          </cell>
          <cell r="V177">
            <v>0.35</v>
          </cell>
          <cell r="W177">
            <v>0.35</v>
          </cell>
          <cell r="X177">
            <v>0.35</v>
          </cell>
          <cell r="Y177">
            <v>0.35</v>
          </cell>
          <cell r="Z177">
            <v>0.35</v>
          </cell>
          <cell r="AA177">
            <v>0.35</v>
          </cell>
          <cell r="AB177">
            <v>0.35</v>
          </cell>
          <cell r="AC177">
            <v>0.35</v>
          </cell>
          <cell r="AD177">
            <v>0.35</v>
          </cell>
          <cell r="AE177">
            <v>0.35</v>
          </cell>
          <cell r="AF177">
            <v>0.35</v>
          </cell>
          <cell r="AG177">
            <v>0.35</v>
          </cell>
          <cell r="AH177">
            <v>0.35</v>
          </cell>
          <cell r="AI177">
            <v>0.35</v>
          </cell>
          <cell r="AJ177">
            <v>0.35</v>
          </cell>
          <cell r="AK177">
            <v>0.35</v>
          </cell>
          <cell r="AL177">
            <v>0.35</v>
          </cell>
          <cell r="AM177">
            <v>0.35</v>
          </cell>
          <cell r="AN177">
            <v>0.35</v>
          </cell>
          <cell r="AO177">
            <v>0.35</v>
          </cell>
          <cell r="AP177">
            <v>0.35</v>
          </cell>
          <cell r="AQ177">
            <v>0.35</v>
          </cell>
          <cell r="AR177">
            <v>0.35</v>
          </cell>
          <cell r="AS177">
            <v>0.35</v>
          </cell>
          <cell r="AT177">
            <v>0.35</v>
          </cell>
          <cell r="AU177">
            <v>0.35</v>
          </cell>
          <cell r="AV177">
            <v>0.35</v>
          </cell>
          <cell r="AW177">
            <v>0.35</v>
          </cell>
          <cell r="AX177">
            <v>0.35</v>
          </cell>
          <cell r="AY177">
            <v>0.35</v>
          </cell>
          <cell r="AZ177">
            <v>0.35</v>
          </cell>
          <cell r="BA177">
            <v>0.35</v>
          </cell>
          <cell r="BB177">
            <v>0.26500000000000001</v>
          </cell>
          <cell r="BC177">
            <v>0.39</v>
          </cell>
          <cell r="BD177">
            <v>0.35</v>
          </cell>
          <cell r="BE177">
            <v>0.35</v>
          </cell>
          <cell r="BF177">
            <v>0.35</v>
          </cell>
          <cell r="BU177" t="str">
            <v>Carry Back Amount - Manual entry to leave CB benefit in Current</v>
          </cell>
          <cell r="BV177">
            <v>0</v>
          </cell>
        </row>
        <row r="178">
          <cell r="BU178" t="str">
            <v>Reclass to Deferred - See Q</v>
          </cell>
          <cell r="BV178">
            <v>-87510859.01288338</v>
          </cell>
        </row>
        <row r="179">
          <cell r="A179" t="str">
            <v>Federal Current Tax Provision</v>
          </cell>
          <cell r="F179">
            <v>-1404652.3087409788</v>
          </cell>
          <cell r="G179">
            <v>-35719.673398095045</v>
          </cell>
          <cell r="H179">
            <v>1203463.4678854812</v>
          </cell>
          <cell r="I179">
            <v>6708533.169425061</v>
          </cell>
          <cell r="J179">
            <v>-696393.51120223373</v>
          </cell>
          <cell r="K179">
            <v>1870548.9122768256</v>
          </cell>
          <cell r="L179">
            <v>-744401.10578294098</v>
          </cell>
          <cell r="M179">
            <v>-83274.750594157391</v>
          </cell>
          <cell r="N179">
            <v>166046.26765999995</v>
          </cell>
          <cell r="O179">
            <v>-282323.12454987376</v>
          </cell>
          <cell r="P179">
            <v>5477.7572849999997</v>
          </cell>
          <cell r="Q179">
            <v>-9105.5928714514648</v>
          </cell>
          <cell r="R179">
            <v>4630200.5241607875</v>
          </cell>
          <cell r="S179">
            <v>-17930.288750551274</v>
          </cell>
          <cell r="T179">
            <v>-10107717.306958569</v>
          </cell>
          <cell r="U179">
            <v>-159848.77218354202</v>
          </cell>
          <cell r="V179">
            <v>424245.26745303604</v>
          </cell>
          <cell r="W179">
            <v>-1569102.4838340878</v>
          </cell>
          <cell r="X179">
            <v>0</v>
          </cell>
          <cell r="Y179">
            <v>0</v>
          </cell>
          <cell r="Z179">
            <v>115658.80721288173</v>
          </cell>
          <cell r="AA179">
            <v>2268653.5087729143</v>
          </cell>
          <cell r="AB179">
            <v>954467.39739480638</v>
          </cell>
          <cell r="AC179">
            <v>3737.2237367929588</v>
          </cell>
          <cell r="AD179">
            <v>-3273680.0090257153</v>
          </cell>
          <cell r="AE179">
            <v>2010567.8809999998</v>
          </cell>
          <cell r="AF179">
            <v>764148.28836591088</v>
          </cell>
          <cell r="AG179">
            <v>208192.726</v>
          </cell>
          <cell r="AH179">
            <v>-100044.59875374084</v>
          </cell>
          <cell r="AI179">
            <v>-15312024.250749782</v>
          </cell>
          <cell r="AJ179">
            <v>0</v>
          </cell>
          <cell r="AK179">
            <v>2963084.0011544814</v>
          </cell>
          <cell r="AL179">
            <v>-695086.51006650215</v>
          </cell>
          <cell r="AM179">
            <v>8874583.1999999993</v>
          </cell>
          <cell r="AN179">
            <v>589380.63444232068</v>
          </cell>
          <cell r="AO179">
            <v>-3224.9471674146371</v>
          </cell>
          <cell r="AP179">
            <v>34936.907481559996</v>
          </cell>
          <cell r="AQ179">
            <v>1229646.7015</v>
          </cell>
          <cell r="AR179">
            <v>-7878.4236194125833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-205741.18151900402</v>
          </cell>
          <cell r="BA179">
            <v>228859.55960349998</v>
          </cell>
          <cell r="BB179">
            <v>345477.3480693305</v>
          </cell>
          <cell r="BC179">
            <v>0</v>
          </cell>
          <cell r="BD179">
            <v>0</v>
          </cell>
          <cell r="BE179">
            <v>-7874033.8409706187</v>
          </cell>
          <cell r="BF179">
            <v>7327750.4779272499</v>
          </cell>
          <cell r="BI179">
            <v>-14926823.253786463</v>
          </cell>
          <cell r="BJ179">
            <v>-35719.673398095045</v>
          </cell>
          <cell r="BK179">
            <v>7911996.6373105422</v>
          </cell>
          <cell r="BL179">
            <v>-259204.74646537783</v>
          </cell>
          <cell r="BM179">
            <v>7309751.0363393305</v>
          </cell>
          <cell r="BN179">
            <v>-6.2398612499237061E-8</v>
          </cell>
          <cell r="BO179">
            <v>-134066.15</v>
          </cell>
          <cell r="BP179">
            <v>-134066.15000006239</v>
          </cell>
          <cell r="BQ179">
            <v>2524223.4559628777</v>
          </cell>
          <cell r="BR179">
            <v>-2658289.60596294</v>
          </cell>
          <cell r="BS179">
            <v>-479543</v>
          </cell>
        </row>
        <row r="181">
          <cell r="A181" t="str">
            <v>AMT Tax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CC181">
            <v>0</v>
          </cell>
          <cell r="CE181">
            <v>0</v>
          </cell>
        </row>
        <row r="182">
          <cell r="A182" t="str">
            <v>AMT Credit Current Utilization (coordinate with Deferred)</v>
          </cell>
          <cell r="D182" t="str">
            <v>Must agree to F2 W/Ps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CC182">
            <v>0</v>
          </cell>
          <cell r="CE182">
            <v>0</v>
          </cell>
        </row>
        <row r="183">
          <cell r="BS183">
            <v>0</v>
          </cell>
        </row>
        <row r="184">
          <cell r="A184" t="str">
            <v>Other Federal Adjustments/Credits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CC184">
            <v>0</v>
          </cell>
          <cell r="CE184">
            <v>0</v>
          </cell>
        </row>
        <row r="185">
          <cell r="A185" t="str">
            <v>Other Federal Adjustments/Credits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CC185">
            <v>0</v>
          </cell>
          <cell r="CE185">
            <v>0</v>
          </cell>
        </row>
        <row r="186">
          <cell r="BS186">
            <v>0</v>
          </cell>
        </row>
        <row r="187">
          <cell r="A187" t="str">
            <v>Prior Year Flow-Through State Tax Expense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CE187" t="e">
            <v>#REF!</v>
          </cell>
        </row>
        <row r="188">
          <cell r="BS188">
            <v>0</v>
          </cell>
          <cell r="CE188" t="e">
            <v>#REF!</v>
          </cell>
        </row>
        <row r="189">
          <cell r="A189" t="str">
            <v xml:space="preserve">Other Federal Tax Expense 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CE189" t="e">
            <v>#REF!</v>
          </cell>
        </row>
        <row r="190">
          <cell r="A190" t="str">
            <v xml:space="preserve">Other Federal Tax Expense 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Z190">
            <v>0</v>
          </cell>
          <cell r="CC190">
            <v>0</v>
          </cell>
          <cell r="CE190">
            <v>0</v>
          </cell>
        </row>
        <row r="191">
          <cell r="A191" t="str">
            <v>Total Federal Current Tax/(Benefit)</v>
          </cell>
          <cell r="F191">
            <v>-1404652.3087409788</v>
          </cell>
          <cell r="G191">
            <v>-35719.673398095045</v>
          </cell>
          <cell r="H191">
            <v>1203463.4678854812</v>
          </cell>
          <cell r="I191">
            <v>6708533.169425061</v>
          </cell>
          <cell r="J191">
            <v>-696393.51120223373</v>
          </cell>
          <cell r="K191">
            <v>1870548.9122768256</v>
          </cell>
          <cell r="L191">
            <v>-744401.10578294098</v>
          </cell>
          <cell r="M191">
            <v>-83274.750594157391</v>
          </cell>
          <cell r="N191">
            <v>166046.26765999995</v>
          </cell>
          <cell r="O191">
            <v>-282323.12454987376</v>
          </cell>
          <cell r="P191">
            <v>5477.7572849999997</v>
          </cell>
          <cell r="Q191">
            <v>-9105.5928714514648</v>
          </cell>
          <cell r="R191">
            <v>4630200.5241607875</v>
          </cell>
          <cell r="S191">
            <v>-17930.288750551274</v>
          </cell>
          <cell r="T191">
            <v>-10107717.306958569</v>
          </cell>
          <cell r="U191">
            <v>-159848.77218354202</v>
          </cell>
          <cell r="V191">
            <v>424245.26745303604</v>
          </cell>
          <cell r="W191">
            <v>-1569102.4838340878</v>
          </cell>
          <cell r="X191">
            <v>0</v>
          </cell>
          <cell r="Y191">
            <v>0</v>
          </cell>
          <cell r="Z191">
            <v>115658.80721288173</v>
          </cell>
          <cell r="AA191">
            <v>2268653.5087729143</v>
          </cell>
          <cell r="AB191">
            <v>954467.39739480638</v>
          </cell>
          <cell r="AC191">
            <v>3737.2237367929588</v>
          </cell>
          <cell r="AD191">
            <v>-3273680.0090257153</v>
          </cell>
          <cell r="AE191">
            <v>2010567.8809999998</v>
          </cell>
          <cell r="AF191">
            <v>764148.28836591088</v>
          </cell>
          <cell r="AG191">
            <v>208192.726</v>
          </cell>
          <cell r="AH191">
            <v>-100044.59875374084</v>
          </cell>
          <cell r="AI191">
            <v>-15312024.250749782</v>
          </cell>
          <cell r="AJ191">
            <v>0</v>
          </cell>
          <cell r="AK191">
            <v>2963084.0011544814</v>
          </cell>
          <cell r="AL191">
            <v>-695086.51006650215</v>
          </cell>
          <cell r="AM191">
            <v>8874583.1999999993</v>
          </cell>
          <cell r="AN191">
            <v>589380.63444232068</v>
          </cell>
          <cell r="AO191">
            <v>-3224.9471674146371</v>
          </cell>
          <cell r="AP191">
            <v>34936.907481559996</v>
          </cell>
          <cell r="AQ191">
            <v>1229646.7015</v>
          </cell>
          <cell r="AR191">
            <v>-7878.4236194125833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-205741.18151900402</v>
          </cell>
          <cell r="BA191">
            <v>228859.55960349998</v>
          </cell>
          <cell r="BB191">
            <v>345477.3480693305</v>
          </cell>
          <cell r="BC191">
            <v>0</v>
          </cell>
          <cell r="BD191">
            <v>0</v>
          </cell>
          <cell r="BE191">
            <v>-7874033.8409706187</v>
          </cell>
          <cell r="BF191">
            <v>7327750.4779272499</v>
          </cell>
          <cell r="BI191">
            <v>-14926823.253786463</v>
          </cell>
          <cell r="BJ191">
            <v>-35719.673398095045</v>
          </cell>
          <cell r="BK191">
            <v>7911996.6373105422</v>
          </cell>
          <cell r="BL191">
            <v>-259204.74646537783</v>
          </cell>
          <cell r="BM191">
            <v>7309751.0363393305</v>
          </cell>
          <cell r="BN191">
            <v>-6.2398612499237061E-8</v>
          </cell>
          <cell r="BO191">
            <v>-134066.15</v>
          </cell>
          <cell r="BP191">
            <v>-134066.15000006239</v>
          </cell>
          <cell r="BQ191">
            <v>2524223.4559628777</v>
          </cell>
          <cell r="BR191">
            <v>-2658289.60596294</v>
          </cell>
          <cell r="BS191">
            <v>-479543</v>
          </cell>
          <cell r="BZ191" t="e">
            <v>#REF!</v>
          </cell>
          <cell r="CA191" t="e">
            <v>#REF!</v>
          </cell>
          <cell r="CC191" t="e">
            <v>#REF!</v>
          </cell>
          <cell r="CE191" t="e">
            <v>#REF!</v>
          </cell>
        </row>
        <row r="194">
          <cell r="A194" t="str">
            <v>Curent Expense for Footnote:</v>
          </cell>
          <cell r="CC194">
            <v>0</v>
          </cell>
          <cell r="CE194">
            <v>0</v>
          </cell>
        </row>
        <row r="196">
          <cell r="A196" t="str">
            <v>Current Federal Tax Expense/(Benefit)</v>
          </cell>
          <cell r="F196">
            <v>-1404652.3087409788</v>
          </cell>
          <cell r="G196">
            <v>-35719.673398095045</v>
          </cell>
          <cell r="H196">
            <v>1203463.4678854812</v>
          </cell>
          <cell r="I196">
            <v>6708533.169425061</v>
          </cell>
          <cell r="J196">
            <v>-696393.51120223373</v>
          </cell>
          <cell r="K196">
            <v>1870548.9122768256</v>
          </cell>
          <cell r="L196">
            <v>-744401.10578294098</v>
          </cell>
          <cell r="M196">
            <v>-83274.750594157391</v>
          </cell>
          <cell r="N196">
            <v>166046.26765999995</v>
          </cell>
          <cell r="O196">
            <v>-282323.12454987376</v>
          </cell>
          <cell r="P196">
            <v>5477.7572849999997</v>
          </cell>
          <cell r="Q196">
            <v>-9105.5928714514648</v>
          </cell>
          <cell r="R196">
            <v>4630200.5241607875</v>
          </cell>
          <cell r="S196">
            <v>-17930.288750551274</v>
          </cell>
          <cell r="T196">
            <v>-10107717.306958569</v>
          </cell>
          <cell r="U196">
            <v>-159848.77218354202</v>
          </cell>
          <cell r="V196">
            <v>424245.26745303604</v>
          </cell>
          <cell r="W196">
            <v>-1569102.4838340878</v>
          </cell>
          <cell r="X196">
            <v>0</v>
          </cell>
          <cell r="Y196">
            <v>0</v>
          </cell>
          <cell r="Z196">
            <v>115658.80721288173</v>
          </cell>
          <cell r="AA196">
            <v>2268653.5087729143</v>
          </cell>
          <cell r="AB196">
            <v>954467.39739480638</v>
          </cell>
          <cell r="AC196">
            <v>3737.2237367929588</v>
          </cell>
          <cell r="AD196">
            <v>-3273680.0090257153</v>
          </cell>
          <cell r="AE196">
            <v>2010567.8809999998</v>
          </cell>
          <cell r="AF196">
            <v>764148.28836591088</v>
          </cell>
          <cell r="AG196">
            <v>208192.726</v>
          </cell>
          <cell r="AH196">
            <v>-100044.59875374084</v>
          </cell>
          <cell r="AI196">
            <v>-15312024.250749782</v>
          </cell>
          <cell r="AJ196">
            <v>0</v>
          </cell>
          <cell r="AK196">
            <v>2963084.0011544814</v>
          </cell>
          <cell r="AL196">
            <v>-695086.51006650215</v>
          </cell>
          <cell r="AM196">
            <v>8874583.1999999993</v>
          </cell>
          <cell r="AN196">
            <v>589380.63444232068</v>
          </cell>
          <cell r="AO196">
            <v>-3224.9471674146371</v>
          </cell>
          <cell r="AP196">
            <v>34936.907481559996</v>
          </cell>
          <cell r="AQ196">
            <v>1229646.7015</v>
          </cell>
          <cell r="AR196">
            <v>-7878.4236194125833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-205741.18151900402</v>
          </cell>
          <cell r="BA196">
            <v>228859.55960349998</v>
          </cell>
          <cell r="BB196">
            <v>345477.3480693305</v>
          </cell>
          <cell r="BC196">
            <v>0</v>
          </cell>
          <cell r="BD196">
            <v>0</v>
          </cell>
          <cell r="BE196">
            <v>-7874033.8409706187</v>
          </cell>
          <cell r="BF196">
            <v>7327750.4779272499</v>
          </cell>
          <cell r="BI196">
            <v>-14926823.253786463</v>
          </cell>
          <cell r="BJ196">
            <v>-35719.673398095045</v>
          </cell>
          <cell r="BK196">
            <v>7911996.6373105422</v>
          </cell>
          <cell r="BL196">
            <v>-259204.74646537783</v>
          </cell>
          <cell r="BM196">
            <v>7309751.0363393305</v>
          </cell>
          <cell r="BN196">
            <v>-6.2398612499237061E-8</v>
          </cell>
          <cell r="BO196">
            <v>345477.3480693305</v>
          </cell>
          <cell r="BP196">
            <v>345477.3480692681</v>
          </cell>
          <cell r="BQ196">
            <v>2524223.4559628777</v>
          </cell>
          <cell r="BR196">
            <v>-2178746.1078936094</v>
          </cell>
          <cell r="BS196" t="str">
            <v>CF OK</v>
          </cell>
          <cell r="BZ196" t="e">
            <v>#REF!</v>
          </cell>
          <cell r="CA196" t="e">
            <v>#REF!</v>
          </cell>
          <cell r="CC196" t="e">
            <v>#REF!</v>
          </cell>
          <cell r="CE196" t="e">
            <v>#REF!</v>
          </cell>
        </row>
        <row r="197">
          <cell r="A197" t="str">
            <v>Current State Tax Expense/(Benefit)</v>
          </cell>
          <cell r="F197">
            <v>53876.186528988183</v>
          </cell>
          <cell r="G197">
            <v>0</v>
          </cell>
          <cell r="H197">
            <v>294495.84729862743</v>
          </cell>
          <cell r="I197">
            <v>1611745.3730712514</v>
          </cell>
          <cell r="J197">
            <v>31487.610818440033</v>
          </cell>
          <cell r="K197">
            <v>521714.8421103991</v>
          </cell>
          <cell r="L197">
            <v>0</v>
          </cell>
          <cell r="M197">
            <v>0</v>
          </cell>
          <cell r="N197">
            <v>46920.452399999987</v>
          </cell>
          <cell r="O197">
            <v>0</v>
          </cell>
          <cell r="P197">
            <v>1547.8749</v>
          </cell>
          <cell r="Q197">
            <v>0</v>
          </cell>
          <cell r="R197">
            <v>787223.99136670888</v>
          </cell>
          <cell r="S197">
            <v>23758.253621877258</v>
          </cell>
          <cell r="T197">
            <v>3688258.6664649914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2027660.6361633416</v>
          </cell>
          <cell r="AB197">
            <v>701891.74072723452</v>
          </cell>
          <cell r="AC197">
            <v>11776.518462799908</v>
          </cell>
          <cell r="AD197">
            <v>0</v>
          </cell>
          <cell r="AE197">
            <v>0</v>
          </cell>
          <cell r="AF197">
            <v>165583.67907008837</v>
          </cell>
          <cell r="AG197">
            <v>0</v>
          </cell>
          <cell r="AH197">
            <v>491443.87166115514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137754.25707704062</v>
          </cell>
          <cell r="AO197">
            <v>0</v>
          </cell>
          <cell r="AP197">
            <v>7476.3943384000004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38687.043989999998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1371966.3730649999</v>
          </cell>
          <cell r="BI197">
            <v>491443.87166115514</v>
          </cell>
          <cell r="BJ197">
            <v>0</v>
          </cell>
          <cell r="BK197">
            <v>1906241.2203698789</v>
          </cell>
          <cell r="BL197">
            <v>38687.043989999998</v>
          </cell>
          <cell r="BM197">
            <v>9578897.4771153089</v>
          </cell>
          <cell r="BN197">
            <v>12015269.613136344</v>
          </cell>
          <cell r="BO197">
            <v>0</v>
          </cell>
          <cell r="BP197">
            <v>12015269.613136344</v>
          </cell>
          <cell r="BQ197">
            <v>0</v>
          </cell>
          <cell r="BR197">
            <v>12015269.613136344</v>
          </cell>
          <cell r="BS197" t="str">
            <v>CF OK</v>
          </cell>
          <cell r="BZ197">
            <v>0</v>
          </cell>
          <cell r="CA197">
            <v>0</v>
          </cell>
          <cell r="CC197">
            <v>0</v>
          </cell>
          <cell r="CE197">
            <v>12015269.613136344</v>
          </cell>
        </row>
        <row r="199">
          <cell r="A199" t="str">
            <v>Total Current Provision - $</v>
          </cell>
          <cell r="F199">
            <v>-1350776.1222119906</v>
          </cell>
          <cell r="G199">
            <v>-35719.673398095045</v>
          </cell>
          <cell r="H199">
            <v>1497959.3151841087</v>
          </cell>
          <cell r="I199">
            <v>8320278.5424963124</v>
          </cell>
          <cell r="J199">
            <v>-664905.90038379375</v>
          </cell>
          <cell r="K199">
            <v>2392263.7543872246</v>
          </cell>
          <cell r="L199">
            <v>-744401.10578294098</v>
          </cell>
          <cell r="M199">
            <v>-83274.750594157391</v>
          </cell>
          <cell r="N199">
            <v>212966.72005999993</v>
          </cell>
          <cell r="O199">
            <v>-282323.12454987376</v>
          </cell>
          <cell r="P199">
            <v>7025.6321849999995</v>
          </cell>
          <cell r="Q199">
            <v>-9105.5928714514648</v>
          </cell>
          <cell r="R199">
            <v>5417424.5155274961</v>
          </cell>
          <cell r="S199">
            <v>5827.9648713259849</v>
          </cell>
          <cell r="T199">
            <v>-6419458.6404935773</v>
          </cell>
          <cell r="U199">
            <v>-159848.77218354202</v>
          </cell>
          <cell r="V199">
            <v>424245.26745303604</v>
          </cell>
          <cell r="W199">
            <v>-1569102.4838340878</v>
          </cell>
          <cell r="X199">
            <v>0</v>
          </cell>
          <cell r="Y199">
            <v>0</v>
          </cell>
          <cell r="Z199">
            <v>115658.80721288173</v>
          </cell>
          <cell r="AA199">
            <v>4296314.1449362561</v>
          </cell>
          <cell r="AB199">
            <v>1656359.1381220408</v>
          </cell>
          <cell r="AC199">
            <v>15513.742199592867</v>
          </cell>
          <cell r="AD199">
            <v>-3273680.0090257153</v>
          </cell>
          <cell r="AE199">
            <v>2010567.8809999998</v>
          </cell>
          <cell r="AF199">
            <v>929731.96743599931</v>
          </cell>
          <cell r="AG199">
            <v>208192.726</v>
          </cell>
          <cell r="AH199">
            <v>391399.2729074143</v>
          </cell>
          <cell r="AI199">
            <v>-15312024.250749782</v>
          </cell>
          <cell r="AJ199">
            <v>0</v>
          </cell>
          <cell r="AK199">
            <v>2963084.0011544814</v>
          </cell>
          <cell r="AL199">
            <v>-695086.51006650215</v>
          </cell>
          <cell r="AM199">
            <v>8874583.1999999993</v>
          </cell>
          <cell r="AN199">
            <v>727134.89151936129</v>
          </cell>
          <cell r="AO199">
            <v>-3224.9471674146371</v>
          </cell>
          <cell r="AP199">
            <v>42413.301819959997</v>
          </cell>
          <cell r="AQ199">
            <v>1229646.7015</v>
          </cell>
          <cell r="AR199">
            <v>-7878.4236194125833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-205741.18151900402</v>
          </cell>
          <cell r="BA199">
            <v>267546.60359349998</v>
          </cell>
          <cell r="BB199">
            <v>345477.3480693305</v>
          </cell>
          <cell r="BC199">
            <v>0</v>
          </cell>
          <cell r="BD199">
            <v>0</v>
          </cell>
          <cell r="BE199">
            <v>-7874033.8409706187</v>
          </cell>
          <cell r="BF199">
            <v>8699716.8509922493</v>
          </cell>
          <cell r="BI199">
            <v>-14435379.382125309</v>
          </cell>
          <cell r="BJ199">
            <v>-35719.673398095045</v>
          </cell>
          <cell r="BK199">
            <v>9818237.8576804213</v>
          </cell>
          <cell r="BL199">
            <v>-220517.70247537782</v>
          </cell>
          <cell r="BM199">
            <v>16888648.513454638</v>
          </cell>
          <cell r="BN199">
            <v>12015269.61313628</v>
          </cell>
          <cell r="BO199">
            <v>345477.3480693305</v>
          </cell>
          <cell r="BP199">
            <v>12360746.961205611</v>
          </cell>
          <cell r="BQ199">
            <v>2524223.4559628777</v>
          </cell>
          <cell r="BR199">
            <v>9836523.5052427351</v>
          </cell>
          <cell r="BS199" t="str">
            <v>CF OK</v>
          </cell>
          <cell r="BZ199" t="e">
            <v>#REF!</v>
          </cell>
          <cell r="CA199" t="e">
            <v>#REF!</v>
          </cell>
          <cell r="CC199" t="e">
            <v>#REF!</v>
          </cell>
          <cell r="CE199" t="e">
            <v>#REF!</v>
          </cell>
        </row>
        <row r="200">
          <cell r="A200" t="str">
            <v>Total Current Provision - %</v>
          </cell>
          <cell r="F200">
            <v>-3.3026791519631176</v>
          </cell>
          <cell r="G200">
            <v>-2.5759898965278653E-4</v>
          </cell>
          <cell r="H200">
            <v>0.46289827361544156</v>
          </cell>
          <cell r="I200">
            <v>0.39324109912956312</v>
          </cell>
          <cell r="J200">
            <v>-6.4648445198883991E-2</v>
          </cell>
          <cell r="K200">
            <v>0.36449888104129857</v>
          </cell>
          <cell r="L200">
            <v>0.20663243432857947</v>
          </cell>
          <cell r="M200">
            <v>0.1107596887075588</v>
          </cell>
          <cell r="N200">
            <v>0.11381140373840383</v>
          </cell>
          <cell r="O200">
            <v>-0.97232494797255942</v>
          </cell>
          <cell r="P200">
            <v>0.40849999999999997</v>
          </cell>
          <cell r="Q200">
            <v>0.21202063280374231</v>
          </cell>
          <cell r="R200">
            <v>0.25599129007197874</v>
          </cell>
          <cell r="S200">
            <v>9.9190448755340169E-3</v>
          </cell>
          <cell r="T200">
            <v>-4.3550334052634344E-2</v>
          </cell>
          <cell r="U200">
            <v>-2.5373345082053578E-2</v>
          </cell>
          <cell r="V200">
            <v>7.3574136526779105E-2</v>
          </cell>
          <cell r="W200">
            <v>-0.11322441003826417</v>
          </cell>
          <cell r="X200" t="e">
            <v>#DIV/0!</v>
          </cell>
          <cell r="Y200" t="e">
            <v>#DIV/0!</v>
          </cell>
          <cell r="Z200">
            <v>3.2932706438236425E-3</v>
          </cell>
          <cell r="AA200">
            <v>9.3813504235163686E-2</v>
          </cell>
          <cell r="AB200">
            <v>0.26682247086181521</v>
          </cell>
          <cell r="AC200">
            <v>6.3283031717925736E-2</v>
          </cell>
          <cell r="AD200">
            <v>-4.6428734606393622E-2</v>
          </cell>
          <cell r="AE200">
            <v>0.42003661676413634</v>
          </cell>
          <cell r="AF200">
            <v>0.27165659684361121</v>
          </cell>
          <cell r="AG200">
            <v>0.35</v>
          </cell>
          <cell r="AH200" t="e">
            <v>#DIV/0!</v>
          </cell>
          <cell r="AI200">
            <v>0.20159651177536442</v>
          </cell>
          <cell r="AJ200" t="e">
            <v>#DIV/0!</v>
          </cell>
          <cell r="AK200">
            <v>8.4374331325456617E-2</v>
          </cell>
          <cell r="AL200">
            <v>0.22094665060167035</v>
          </cell>
          <cell r="AM200">
            <v>0.35</v>
          </cell>
          <cell r="AN200">
            <v>0.47275853122368006</v>
          </cell>
          <cell r="AO200">
            <v>0.20357278729628853</v>
          </cell>
          <cell r="AP200">
            <v>0.39930548115869224</v>
          </cell>
          <cell r="AQ200">
            <v>0.35</v>
          </cell>
          <cell r="AR200">
            <v>0.20357278729628853</v>
          </cell>
          <cell r="AS200">
            <v>0</v>
          </cell>
          <cell r="AT200" t="e">
            <v>#DIV/0!</v>
          </cell>
          <cell r="AU200" t="e">
            <v>#DIV/0!</v>
          </cell>
          <cell r="AV200">
            <v>0</v>
          </cell>
          <cell r="AW200">
            <v>0</v>
          </cell>
          <cell r="AX200" t="e">
            <v>#DIV/0!</v>
          </cell>
          <cell r="AY200" t="e">
            <v>#DIV/0!</v>
          </cell>
          <cell r="AZ200">
            <v>-3.467901333568691E-2</v>
          </cell>
          <cell r="BA200">
            <v>0.19433935662977644</v>
          </cell>
          <cell r="BB200">
            <v>0.19312147697232568</v>
          </cell>
          <cell r="BC200">
            <v>0</v>
          </cell>
          <cell r="BD200">
            <v>0</v>
          </cell>
          <cell r="BE200">
            <v>0.2140132867186372</v>
          </cell>
          <cell r="BF200">
            <v>0.29903930866632666</v>
          </cell>
          <cell r="BI200">
            <v>0.18983160604190383</v>
          </cell>
          <cell r="BJ200">
            <v>-2.5759898965278653E-4</v>
          </cell>
          <cell r="BK200">
            <v>0.40248154077586024</v>
          </cell>
          <cell r="BL200">
            <v>-2.9016305618528051E-2</v>
          </cell>
          <cell r="BM200">
            <v>3.9154899545539648E-2</v>
          </cell>
          <cell r="BN200">
            <v>2.2845151761269271E-2</v>
          </cell>
          <cell r="BO200">
            <v>0.19312147697232568</v>
          </cell>
          <cell r="BP200">
            <v>2.3422355484761757E-2</v>
          </cell>
          <cell r="BQ200">
            <v>-0.27434896956632054</v>
          </cell>
          <cell r="BR200">
            <v>1.8319811980358754E-2</v>
          </cell>
          <cell r="BZ200" t="e">
            <v>#REF!</v>
          </cell>
          <cell r="CA200" t="e">
            <v>#REF!</v>
          </cell>
          <cell r="CC200" t="e">
            <v>#REF!</v>
          </cell>
          <cell r="CE200" t="e">
            <v>#REF!</v>
          </cell>
        </row>
        <row r="201">
          <cell r="A201" t="str">
            <v>Total SIT Current</v>
          </cell>
          <cell r="F201">
            <v>0.13172853377448154</v>
          </cell>
          <cell r="G201">
            <v>0</v>
          </cell>
          <cell r="H201">
            <v>9.1004887729341663E-2</v>
          </cell>
          <cell r="I201">
            <v>7.6175877861099583E-2</v>
          </cell>
          <cell r="J201">
            <v>3.0615235648604011E-3</v>
          </cell>
          <cell r="K201">
            <v>7.9491433928692623E-2</v>
          </cell>
          <cell r="L201">
            <v>0</v>
          </cell>
          <cell r="M201">
            <v>0</v>
          </cell>
          <cell r="N201">
            <v>2.5074727873822145E-2</v>
          </cell>
          <cell r="O201">
            <v>0</v>
          </cell>
          <cell r="P201">
            <v>0.09</v>
          </cell>
          <cell r="Q201">
            <v>0</v>
          </cell>
          <cell r="R201">
            <v>3.7198946574699757E-2</v>
          </cell>
          <cell r="S201">
            <v>4.0435930731013772E-2</v>
          </cell>
          <cell r="T201">
            <v>2.5021564277065575E-2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4.4275614692278663E-2</v>
          </cell>
          <cell r="AB201">
            <v>0.11306756139292205</v>
          </cell>
          <cell r="AC201">
            <v>4.8038299323271111E-2</v>
          </cell>
          <cell r="AD201">
            <v>0</v>
          </cell>
          <cell r="AE201">
            <v>0</v>
          </cell>
          <cell r="AF201">
            <v>4.8381576975432279E-2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8.9563162220798062E-2</v>
          </cell>
          <cell r="AO201">
            <v>0</v>
          </cell>
          <cell r="AP201">
            <v>7.0387475403341518E-2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2.8101329405577694E-2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4.7159221701337496E-2</v>
          </cell>
          <cell r="BI201">
            <v>-6.4627036787413559E-3</v>
          </cell>
          <cell r="BJ201">
            <v>0</v>
          </cell>
          <cell r="BK201">
            <v>7.8143034889377183E-2</v>
          </cell>
          <cell r="BL201">
            <v>5.0905441118343732E-3</v>
          </cell>
          <cell r="BM201">
            <v>2.2207861580793416E-2</v>
          </cell>
          <cell r="BN201">
            <v>2.2845151761269392E-2</v>
          </cell>
          <cell r="BO201">
            <v>0</v>
          </cell>
          <cell r="BP201">
            <v>2.2767711126794744E-2</v>
          </cell>
          <cell r="BQ201">
            <v>0</v>
          </cell>
          <cell r="BR201">
            <v>2.2377568669322653E-2</v>
          </cell>
        </row>
        <row r="202">
          <cell r="F202">
            <v>-3.4344076857375989</v>
          </cell>
          <cell r="G202">
            <v>-2.5759898965278653E-4</v>
          </cell>
          <cell r="H202">
            <v>0.37189338588609988</v>
          </cell>
          <cell r="I202">
            <v>0.31706522126846354</v>
          </cell>
          <cell r="J202">
            <v>-6.7709968763744383E-2</v>
          </cell>
          <cell r="K202">
            <v>0.28500744711260595</v>
          </cell>
          <cell r="L202">
            <v>0.20663243432857947</v>
          </cell>
          <cell r="M202">
            <v>0.1107596887075588</v>
          </cell>
          <cell r="N202">
            <v>8.8736675864581699E-2</v>
          </cell>
          <cell r="O202">
            <v>-0.97232494797255942</v>
          </cell>
          <cell r="P202">
            <v>0.31849999999999995</v>
          </cell>
          <cell r="Q202">
            <v>0.21202063280374231</v>
          </cell>
          <cell r="R202">
            <v>0.21879234349727897</v>
          </cell>
          <cell r="S202">
            <v>-3.0516885855479757E-2</v>
          </cell>
          <cell r="T202">
            <v>-6.8571898329699926E-2</v>
          </cell>
          <cell r="U202">
            <v>-2.5373345082053578E-2</v>
          </cell>
          <cell r="V202">
            <v>7.3574136526779105E-2</v>
          </cell>
          <cell r="W202">
            <v>-0.11322441003826417</v>
          </cell>
          <cell r="X202">
            <v>0</v>
          </cell>
          <cell r="Y202">
            <v>0</v>
          </cell>
          <cell r="Z202">
            <v>3.2932706438236425E-3</v>
          </cell>
          <cell r="AA202">
            <v>4.9537889542885016E-2</v>
          </cell>
          <cell r="AB202">
            <v>0.1537549094688932</v>
          </cell>
          <cell r="AC202">
            <v>1.5244732394654615E-2</v>
          </cell>
          <cell r="AD202">
            <v>-4.6428734606393622E-2</v>
          </cell>
          <cell r="AE202">
            <v>0.42003661676413634</v>
          </cell>
          <cell r="AF202">
            <v>0.22327501986817891</v>
          </cell>
          <cell r="AG202">
            <v>0.35</v>
          </cell>
          <cell r="AH202">
            <v>0</v>
          </cell>
          <cell r="AI202">
            <v>0.20159651177536442</v>
          </cell>
          <cell r="AJ202">
            <v>0</v>
          </cell>
          <cell r="AK202">
            <v>8.4374331325456617E-2</v>
          </cell>
          <cell r="AL202">
            <v>0.22094665060167035</v>
          </cell>
          <cell r="AM202">
            <v>0.35</v>
          </cell>
          <cell r="AN202">
            <v>0.38319536900288204</v>
          </cell>
          <cell r="AO202">
            <v>0.20357278729628853</v>
          </cell>
          <cell r="AP202">
            <v>0.32891800575535068</v>
          </cell>
          <cell r="AQ202">
            <v>0.35</v>
          </cell>
          <cell r="AR202">
            <v>0.20357278729628853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-3.467901333568691E-2</v>
          </cell>
          <cell r="BA202">
            <v>0.16623802722419875</v>
          </cell>
          <cell r="BB202">
            <v>0.19312147697232568</v>
          </cell>
          <cell r="BC202">
            <v>0</v>
          </cell>
          <cell r="BD202">
            <v>0</v>
          </cell>
          <cell r="BE202">
            <v>0.2140132867186372</v>
          </cell>
          <cell r="BF202">
            <v>0.25188008696498915</v>
          </cell>
          <cell r="BI202">
            <v>0.19629430972064518</v>
          </cell>
          <cell r="BJ202">
            <v>-2.5759898965278653E-4</v>
          </cell>
          <cell r="BK202">
            <v>0.32433850588648305</v>
          </cell>
          <cell r="BL202">
            <v>-3.4106849730362425E-2</v>
          </cell>
          <cell r="BM202">
            <v>1.6947037964746236E-2</v>
          </cell>
          <cell r="BN202">
            <v>-1.1864118060898114E-16</v>
          </cell>
          <cell r="BO202">
            <v>0.19312147697232568</v>
          </cell>
          <cell r="BP202">
            <v>6.5464435796701423E-4</v>
          </cell>
          <cell r="BQ202">
            <v>-0.27434896956632054</v>
          </cell>
          <cell r="BR202">
            <v>-4.0577566889639016E-3</v>
          </cell>
        </row>
        <row r="203">
          <cell r="BS203" t="str">
            <v>X</v>
          </cell>
        </row>
        <row r="204">
          <cell r="F204" t="str">
            <v>Rate Rec $</v>
          </cell>
          <cell r="G204" t="str">
            <v>Rate Rec $</v>
          </cell>
          <cell r="H204" t="str">
            <v>Rate Rec $</v>
          </cell>
          <cell r="I204" t="str">
            <v>Rate Rec $</v>
          </cell>
          <cell r="J204" t="str">
            <v>Rate Rec $</v>
          </cell>
          <cell r="K204" t="str">
            <v>Rate Rec $</v>
          </cell>
          <cell r="L204" t="str">
            <v>Rate Rec $</v>
          </cell>
          <cell r="M204" t="str">
            <v>Rate Rec $</v>
          </cell>
          <cell r="N204" t="str">
            <v>Rate Rec $</v>
          </cell>
          <cell r="O204" t="str">
            <v>Rate Rec $</v>
          </cell>
          <cell r="P204" t="str">
            <v>Rate Rec $</v>
          </cell>
          <cell r="Q204" t="str">
            <v>Rate Rec $</v>
          </cell>
          <cell r="R204" t="str">
            <v>Rate Rec $</v>
          </cell>
          <cell r="S204" t="str">
            <v>Rate Rec $</v>
          </cell>
          <cell r="T204" t="str">
            <v>Rate Rec $</v>
          </cell>
          <cell r="U204" t="str">
            <v>Rate Rec $</v>
          </cell>
          <cell r="V204" t="str">
            <v>Rate Rec $</v>
          </cell>
          <cell r="W204" t="str">
            <v>Rate Rec $</v>
          </cell>
          <cell r="X204" t="str">
            <v>Rate Rec $</v>
          </cell>
          <cell r="Y204" t="str">
            <v>Rate Rec $</v>
          </cell>
          <cell r="Z204" t="str">
            <v>Rate Rec $</v>
          </cell>
          <cell r="AA204" t="str">
            <v>Rate Rec $</v>
          </cell>
          <cell r="AB204" t="str">
            <v>Rate Rec $</v>
          </cell>
          <cell r="AC204" t="str">
            <v>Rate Rec $</v>
          </cell>
          <cell r="AD204" t="str">
            <v>Rate Rec $</v>
          </cell>
          <cell r="AE204" t="str">
            <v>Rate Rec $</v>
          </cell>
          <cell r="AF204" t="str">
            <v>Rate Rec $</v>
          </cell>
          <cell r="AG204" t="str">
            <v>Rate Rec $</v>
          </cell>
          <cell r="AH204" t="str">
            <v>Rate Rec $</v>
          </cell>
          <cell r="AI204" t="str">
            <v>Rate Rec $</v>
          </cell>
          <cell r="AJ204" t="str">
            <v>Rate Rec $</v>
          </cell>
          <cell r="AK204" t="str">
            <v>Rate Rec $</v>
          </cell>
          <cell r="AL204" t="str">
            <v>Rate Rec $</v>
          </cell>
          <cell r="AM204" t="str">
            <v>Rate Rec $</v>
          </cell>
          <cell r="AN204" t="str">
            <v>Rate Rec $</v>
          </cell>
          <cell r="AO204" t="str">
            <v>Rate Rec $</v>
          </cell>
          <cell r="AP204" t="str">
            <v>Rate Rec $</v>
          </cell>
          <cell r="AQ204" t="str">
            <v>Rate Rec $</v>
          </cell>
          <cell r="AR204" t="str">
            <v>Rate Rec $</v>
          </cell>
          <cell r="AS204" t="str">
            <v>Rate Rec $</v>
          </cell>
          <cell r="AT204" t="str">
            <v>Rate Rec $</v>
          </cell>
          <cell r="AU204" t="str">
            <v>Rate Rec $</v>
          </cell>
          <cell r="AV204" t="str">
            <v>Rate Rec $</v>
          </cell>
          <cell r="AW204" t="str">
            <v>Rate Rec $</v>
          </cell>
          <cell r="AX204" t="str">
            <v>Rate Rec $</v>
          </cell>
          <cell r="AY204" t="str">
            <v>Rate Rec $</v>
          </cell>
          <cell r="AZ204" t="str">
            <v>Rate Rec $</v>
          </cell>
          <cell r="BA204" t="str">
            <v>Rate Rec $</v>
          </cell>
          <cell r="BB204" t="str">
            <v>Rate Rec $</v>
          </cell>
          <cell r="BD204" t="str">
            <v>Rate Rec $</v>
          </cell>
          <cell r="BE204" t="str">
            <v>Rate Rec $</v>
          </cell>
          <cell r="BF204" t="str">
            <v>Rate Rec $</v>
          </cell>
          <cell r="BM204" t="str">
            <v>Rate Rec $</v>
          </cell>
          <cell r="BN204" t="str">
            <v>Rate Rec $</v>
          </cell>
          <cell r="BO204" t="str">
            <v>Rate Rec $</v>
          </cell>
          <cell r="BP204" t="str">
            <v>Rate Rec $</v>
          </cell>
          <cell r="BQ204" t="str">
            <v>Rate Rec $</v>
          </cell>
          <cell r="BR204" t="str">
            <v>Rate Rec $</v>
          </cell>
          <cell r="BU204" t="str">
            <v>Proof of SIT Total Expense</v>
          </cell>
          <cell r="BZ204" t="str">
            <v>Rate Rec $</v>
          </cell>
          <cell r="CA204" t="str">
            <v>Rate Rec $</v>
          </cell>
          <cell r="CC204" t="str">
            <v>Rate Rec $</v>
          </cell>
          <cell r="CE204" t="str">
            <v>Rate Rec $</v>
          </cell>
        </row>
        <row r="205">
          <cell r="F205">
            <v>143147.91750000315</v>
          </cell>
          <cell r="G205">
            <v>48532355.294500001</v>
          </cell>
          <cell r="H205">
            <v>1132615.5015000009</v>
          </cell>
          <cell r="I205">
            <v>7405374.1999999993</v>
          </cell>
          <cell r="J205">
            <v>3599731.8174999999</v>
          </cell>
          <cell r="K205">
            <v>2297105.3069999996</v>
          </cell>
          <cell r="L205">
            <v>-1260888.1459999999</v>
          </cell>
          <cell r="M205">
            <v>-263147.74850000103</v>
          </cell>
          <cell r="N205">
            <v>654928.67649999994</v>
          </cell>
          <cell r="O205">
            <v>101625.587</v>
          </cell>
          <cell r="P205">
            <v>6019.5135</v>
          </cell>
          <cell r="Q205">
            <v>-15031.3555</v>
          </cell>
          <cell r="R205">
            <v>7406887.0855</v>
          </cell>
          <cell r="S205">
            <v>205643.56049999999</v>
          </cell>
          <cell r="T205">
            <v>51591120.321999989</v>
          </cell>
          <cell r="U205">
            <v>2204954.4545</v>
          </cell>
          <cell r="V205">
            <v>2018179.9014999999</v>
          </cell>
          <cell r="W205">
            <v>4850419.3499999996</v>
          </cell>
          <cell r="X205">
            <v>0</v>
          </cell>
          <cell r="Y205">
            <v>0</v>
          </cell>
          <cell r="Z205">
            <v>12291908.8355</v>
          </cell>
          <cell r="AA205">
            <v>16028715.300499998</v>
          </cell>
          <cell r="AB205">
            <v>2172701.9335000035</v>
          </cell>
          <cell r="AC205">
            <v>85801.985499999995</v>
          </cell>
          <cell r="AD205">
            <v>24678424.102499999</v>
          </cell>
          <cell r="AE205">
            <v>1675327.1745</v>
          </cell>
          <cell r="AF205">
            <v>1197858.5919999999</v>
          </cell>
          <cell r="AG205">
            <v>208192.726</v>
          </cell>
          <cell r="AH205">
            <v>0</v>
          </cell>
          <cell r="AI205">
            <v>-26583835.407499999</v>
          </cell>
          <cell r="AJ205">
            <v>0</v>
          </cell>
          <cell r="AK205">
            <v>12291408.822000001</v>
          </cell>
          <cell r="AL205">
            <v>-1101081.5409999997</v>
          </cell>
          <cell r="AM205">
            <v>8874583.1999999993</v>
          </cell>
          <cell r="AN205">
            <v>538323.89099999995</v>
          </cell>
          <cell r="AO205">
            <v>-5544.6089999854394</v>
          </cell>
          <cell r="AP205">
            <v>37176.187999999995</v>
          </cell>
          <cell r="AQ205">
            <v>1229646.7015</v>
          </cell>
          <cell r="AR205">
            <v>-13545.269499999999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2076455.0835000006</v>
          </cell>
          <cell r="BA205">
            <v>481844.3</v>
          </cell>
          <cell r="BB205">
            <v>626119.23707270063</v>
          </cell>
          <cell r="BC205">
            <v>0</v>
          </cell>
          <cell r="BD205">
            <v>0</v>
          </cell>
          <cell r="BE205">
            <v>-12877293.211999999</v>
          </cell>
          <cell r="BF205">
            <v>10182276.408499999</v>
          </cell>
          <cell r="BI205">
            <v>-26615076.852000002</v>
          </cell>
          <cell r="BJ205">
            <v>48532355.294500001</v>
          </cell>
          <cell r="BK205">
            <v>8537989.7015000004</v>
          </cell>
          <cell r="BL205">
            <v>2659924.9705000003</v>
          </cell>
          <cell r="BM205">
            <v>150965193.32999995</v>
          </cell>
          <cell r="BN205">
            <v>184080386.44449997</v>
          </cell>
          <cell r="BO205">
            <v>626119.23707270063</v>
          </cell>
          <cell r="BP205">
            <v>184706505.68157268</v>
          </cell>
          <cell r="BQ205">
            <v>-3220271.6524999999</v>
          </cell>
          <cell r="BR205">
            <v>187926777.33407268</v>
          </cell>
          <cell r="BS205" t="str">
            <v>x</v>
          </cell>
          <cell r="BU205" t="str">
            <v>PTI of profit companies</v>
          </cell>
          <cell r="BV205">
            <v>465890326.44592202</v>
          </cell>
          <cell r="BZ205">
            <v>0</v>
          </cell>
          <cell r="CA205">
            <v>0</v>
          </cell>
          <cell r="CC205">
            <v>0</v>
          </cell>
          <cell r="CE205">
            <v>184706505.68157268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G13">
            <v>-3002036.4</v>
          </cell>
          <cell r="J13" t="str">
            <v/>
          </cell>
        </row>
        <row r="14">
          <cell r="G14">
            <v>-3002036.4</v>
          </cell>
          <cell r="J14" t="str">
            <v/>
          </cell>
        </row>
        <row r="15">
          <cell r="G15">
            <v>-3002036.4</v>
          </cell>
          <cell r="J15" t="str">
            <v/>
          </cell>
        </row>
        <row r="16">
          <cell r="G16">
            <v>-3002036.4</v>
          </cell>
          <cell r="J16" t="str">
            <v/>
          </cell>
        </row>
        <row r="17">
          <cell r="G17">
            <v>1518191.64</v>
          </cell>
          <cell r="J17" t="str">
            <v/>
          </cell>
        </row>
        <row r="18">
          <cell r="G18">
            <v>-350546.68</v>
          </cell>
          <cell r="J18" t="str">
            <v/>
          </cell>
        </row>
        <row r="19">
          <cell r="G19">
            <v>-350546.68</v>
          </cell>
          <cell r="J19" t="str">
            <v/>
          </cell>
        </row>
        <row r="20">
          <cell r="G20">
            <v>1167644.96</v>
          </cell>
          <cell r="J20" t="str">
            <v/>
          </cell>
        </row>
        <row r="21">
          <cell r="G21">
            <v>1167644.96</v>
          </cell>
          <cell r="J21" t="str">
            <v/>
          </cell>
        </row>
        <row r="22">
          <cell r="G22">
            <v>-1834391.44</v>
          </cell>
          <cell r="J22" t="str">
            <v/>
          </cell>
        </row>
        <row r="23">
          <cell r="G23">
            <v>0</v>
          </cell>
          <cell r="J23" t="str">
            <v/>
          </cell>
        </row>
        <row r="24">
          <cell r="G24">
            <v>0</v>
          </cell>
          <cell r="J24" t="str">
            <v/>
          </cell>
        </row>
        <row r="25">
          <cell r="G25">
            <v>0</v>
          </cell>
          <cell r="J25" t="str">
            <v/>
          </cell>
        </row>
        <row r="26">
          <cell r="G26">
            <v>0</v>
          </cell>
          <cell r="J26" t="str">
            <v/>
          </cell>
        </row>
        <row r="27">
          <cell r="G27">
            <v>0</v>
          </cell>
          <cell r="J27" t="str">
            <v/>
          </cell>
        </row>
        <row r="28">
          <cell r="G28">
            <v>0</v>
          </cell>
          <cell r="J28" t="str">
            <v/>
          </cell>
        </row>
        <row r="29">
          <cell r="G29">
            <v>0</v>
          </cell>
          <cell r="J29" t="str">
            <v/>
          </cell>
        </row>
        <row r="30">
          <cell r="G30">
            <v>220356.37</v>
          </cell>
          <cell r="J30" t="str">
            <v/>
          </cell>
        </row>
        <row r="31">
          <cell r="G31">
            <v>5290604.03</v>
          </cell>
          <cell r="J31" t="str">
            <v/>
          </cell>
        </row>
        <row r="32">
          <cell r="G32">
            <v>5510960.4000000004</v>
          </cell>
          <cell r="J32" t="str">
            <v/>
          </cell>
        </row>
        <row r="33">
          <cell r="G33">
            <v>24124.41</v>
          </cell>
          <cell r="J33" t="str">
            <v/>
          </cell>
        </row>
        <row r="34">
          <cell r="G34">
            <v>5535084.8099999996</v>
          </cell>
          <cell r="J34" t="str">
            <v/>
          </cell>
        </row>
        <row r="35">
          <cell r="G35">
            <v>5535084.8099999996</v>
          </cell>
          <cell r="J35" t="str">
            <v/>
          </cell>
        </row>
        <row r="36">
          <cell r="G36">
            <v>5535084.8099999996</v>
          </cell>
          <cell r="J36" t="str">
            <v/>
          </cell>
        </row>
        <row r="37">
          <cell r="G37">
            <v>5535084.8099999996</v>
          </cell>
          <cell r="J37" t="str">
            <v/>
          </cell>
        </row>
        <row r="38">
          <cell r="G38">
            <v>1834391.44</v>
          </cell>
          <cell r="J38" t="str">
            <v/>
          </cell>
        </row>
        <row r="39">
          <cell r="G39">
            <v>24330627.050000001</v>
          </cell>
          <cell r="J39" t="str">
            <v/>
          </cell>
        </row>
        <row r="40">
          <cell r="G40">
            <v>-149040</v>
          </cell>
          <cell r="I40">
            <v>18504000</v>
          </cell>
          <cell r="J40" t="str">
            <v>101018504000</v>
          </cell>
        </row>
        <row r="41">
          <cell r="G41">
            <v>-107052</v>
          </cell>
          <cell r="I41">
            <v>18504500</v>
          </cell>
          <cell r="J41" t="str">
            <v>101018504500</v>
          </cell>
        </row>
        <row r="42">
          <cell r="G42">
            <v>7200</v>
          </cell>
          <cell r="I42">
            <v>25510100</v>
          </cell>
          <cell r="J42" t="str">
            <v>101025510100</v>
          </cell>
        </row>
        <row r="43">
          <cell r="G43">
            <v>36984</v>
          </cell>
          <cell r="I43">
            <v>25510200</v>
          </cell>
          <cell r="J43" t="str">
            <v>101025510200</v>
          </cell>
        </row>
        <row r="44">
          <cell r="G44">
            <v>174564</v>
          </cell>
          <cell r="I44">
            <v>25510300</v>
          </cell>
          <cell r="J44" t="str">
            <v>101025510300</v>
          </cell>
        </row>
        <row r="45">
          <cell r="G45">
            <v>151872</v>
          </cell>
          <cell r="I45">
            <v>25621200</v>
          </cell>
          <cell r="J45" t="str">
            <v>101025621200</v>
          </cell>
        </row>
        <row r="46">
          <cell r="G46">
            <v>-20892</v>
          </cell>
          <cell r="I46">
            <v>25622000</v>
          </cell>
          <cell r="J46" t="str">
            <v>101025622000</v>
          </cell>
        </row>
        <row r="47">
          <cell r="G47">
            <v>-49775.040000000001</v>
          </cell>
          <cell r="I47">
            <v>25623200</v>
          </cell>
          <cell r="J47" t="str">
            <v>101025623200</v>
          </cell>
        </row>
        <row r="48">
          <cell r="G48">
            <v>4404</v>
          </cell>
          <cell r="I48">
            <v>25626000</v>
          </cell>
          <cell r="J48" t="str">
            <v>101025626000</v>
          </cell>
        </row>
        <row r="49">
          <cell r="G49">
            <v>22596</v>
          </cell>
          <cell r="I49">
            <v>25626100</v>
          </cell>
          <cell r="J49" t="str">
            <v>101025626100</v>
          </cell>
        </row>
        <row r="50">
          <cell r="G50">
            <v>89160</v>
          </cell>
          <cell r="I50">
            <v>25626200</v>
          </cell>
          <cell r="J50" t="str">
            <v>101025626200</v>
          </cell>
        </row>
        <row r="51">
          <cell r="G51">
            <v>3543.48</v>
          </cell>
          <cell r="I51">
            <v>69063000</v>
          </cell>
          <cell r="J51" t="str">
            <v>101069063000</v>
          </cell>
        </row>
        <row r="52">
          <cell r="G52">
            <v>-152212.44</v>
          </cell>
          <cell r="I52">
            <v>69073000</v>
          </cell>
          <cell r="J52" t="str">
            <v>101069073000</v>
          </cell>
        </row>
        <row r="53">
          <cell r="G53">
            <v>0</v>
          </cell>
          <cell r="I53">
            <v>69522000</v>
          </cell>
          <cell r="J53" t="str">
            <v>101069522000</v>
          </cell>
        </row>
        <row r="54">
          <cell r="G54">
            <v>0</v>
          </cell>
          <cell r="I54">
            <v>69523000</v>
          </cell>
          <cell r="J54" t="str">
            <v>101069523000</v>
          </cell>
        </row>
        <row r="55">
          <cell r="G55">
            <v>0</v>
          </cell>
          <cell r="I55">
            <v>69524000</v>
          </cell>
          <cell r="J55" t="str">
            <v>101069524000</v>
          </cell>
        </row>
        <row r="56">
          <cell r="G56">
            <v>11352</v>
          </cell>
          <cell r="J56" t="str">
            <v>1010</v>
          </cell>
        </row>
        <row r="57">
          <cell r="G57">
            <v>-376848</v>
          </cell>
          <cell r="I57">
            <v>18504000</v>
          </cell>
          <cell r="J57" t="str">
            <v>101118504000</v>
          </cell>
        </row>
        <row r="58">
          <cell r="G58">
            <v>31476</v>
          </cell>
          <cell r="I58">
            <v>18504500</v>
          </cell>
          <cell r="J58" t="str">
            <v>101118504500</v>
          </cell>
        </row>
        <row r="59">
          <cell r="G59">
            <v>71124</v>
          </cell>
          <cell r="I59">
            <v>18505000</v>
          </cell>
          <cell r="J59" t="str">
            <v>101118505000</v>
          </cell>
        </row>
        <row r="60">
          <cell r="G60">
            <v>3624</v>
          </cell>
          <cell r="I60">
            <v>25510100</v>
          </cell>
          <cell r="J60" t="str">
            <v>101125510100</v>
          </cell>
        </row>
        <row r="61">
          <cell r="G61">
            <v>2254.35</v>
          </cell>
          <cell r="I61">
            <v>25510200</v>
          </cell>
          <cell r="J61" t="str">
            <v>101125510200</v>
          </cell>
        </row>
        <row r="62">
          <cell r="G62">
            <v>31320</v>
          </cell>
          <cell r="I62">
            <v>25510300</v>
          </cell>
          <cell r="J62" t="str">
            <v>101125510300</v>
          </cell>
        </row>
        <row r="63">
          <cell r="G63">
            <v>5877.96</v>
          </cell>
          <cell r="I63">
            <v>25621200</v>
          </cell>
          <cell r="J63" t="str">
            <v>101125621200</v>
          </cell>
        </row>
        <row r="64">
          <cell r="G64">
            <v>-2086.92</v>
          </cell>
          <cell r="I64">
            <v>25622000</v>
          </cell>
          <cell r="J64" t="str">
            <v>101125622000</v>
          </cell>
        </row>
        <row r="65">
          <cell r="G65">
            <v>-20204.04</v>
          </cell>
          <cell r="I65">
            <v>25623200</v>
          </cell>
          <cell r="J65" t="str">
            <v>101125623200</v>
          </cell>
        </row>
        <row r="66">
          <cell r="G66">
            <v>2591.85</v>
          </cell>
          <cell r="I66">
            <v>25626000</v>
          </cell>
          <cell r="J66" t="str">
            <v>101125626000</v>
          </cell>
        </row>
        <row r="67">
          <cell r="G67">
            <v>1612.16</v>
          </cell>
          <cell r="I67">
            <v>25626100</v>
          </cell>
          <cell r="J67" t="str">
            <v>101125626100</v>
          </cell>
        </row>
        <row r="68">
          <cell r="G68">
            <v>16629.91</v>
          </cell>
          <cell r="I68">
            <v>25626200</v>
          </cell>
          <cell r="J68" t="str">
            <v>101125626200</v>
          </cell>
        </row>
        <row r="69">
          <cell r="G69">
            <v>5828.67</v>
          </cell>
          <cell r="I69">
            <v>69063000</v>
          </cell>
          <cell r="J69" t="str">
            <v>101169063000</v>
          </cell>
        </row>
        <row r="70">
          <cell r="G70">
            <v>2271.3200000000002</v>
          </cell>
          <cell r="I70">
            <v>69073000</v>
          </cell>
          <cell r="J70" t="str">
            <v>101169073000</v>
          </cell>
        </row>
        <row r="71">
          <cell r="G71">
            <v>0</v>
          </cell>
          <cell r="I71">
            <v>69522000</v>
          </cell>
          <cell r="J71" t="str">
            <v>101169522000</v>
          </cell>
        </row>
        <row r="72">
          <cell r="G72">
            <v>-15.28</v>
          </cell>
          <cell r="I72">
            <v>69523000</v>
          </cell>
          <cell r="J72" t="str">
            <v>101169523000</v>
          </cell>
        </row>
        <row r="73">
          <cell r="G73">
            <v>0</v>
          </cell>
          <cell r="I73">
            <v>69524000</v>
          </cell>
          <cell r="J73" t="str">
            <v>101169524000</v>
          </cell>
        </row>
        <row r="74">
          <cell r="G74">
            <v>-224544.02</v>
          </cell>
          <cell r="J74" t="str">
            <v>1011</v>
          </cell>
        </row>
        <row r="75">
          <cell r="G75">
            <v>-535109.04</v>
          </cell>
          <cell r="I75">
            <v>18504000</v>
          </cell>
          <cell r="J75" t="str">
            <v>101218504000</v>
          </cell>
        </row>
        <row r="76">
          <cell r="G76">
            <v>24099.96</v>
          </cell>
          <cell r="I76">
            <v>18504500</v>
          </cell>
          <cell r="J76" t="str">
            <v>101218504500</v>
          </cell>
        </row>
        <row r="77">
          <cell r="G77">
            <v>7652.04</v>
          </cell>
          <cell r="I77">
            <v>25510100</v>
          </cell>
          <cell r="J77" t="str">
            <v>101225510100</v>
          </cell>
        </row>
        <row r="78">
          <cell r="G78">
            <v>6305.04</v>
          </cell>
          <cell r="I78">
            <v>25510200</v>
          </cell>
          <cell r="J78" t="str">
            <v>101225510200</v>
          </cell>
        </row>
        <row r="79">
          <cell r="G79">
            <v>70839.960000000006</v>
          </cell>
          <cell r="I79">
            <v>25510300</v>
          </cell>
          <cell r="J79" t="str">
            <v>101225510300</v>
          </cell>
        </row>
        <row r="80">
          <cell r="G80">
            <v>140802.96</v>
          </cell>
          <cell r="I80">
            <v>25621200</v>
          </cell>
          <cell r="J80" t="str">
            <v>101225621200</v>
          </cell>
        </row>
        <row r="81">
          <cell r="G81">
            <v>-27558</v>
          </cell>
          <cell r="I81">
            <v>25622000</v>
          </cell>
          <cell r="J81" t="str">
            <v>101225622000</v>
          </cell>
        </row>
        <row r="82">
          <cell r="G82">
            <v>48684.15</v>
          </cell>
          <cell r="I82">
            <v>25623200</v>
          </cell>
          <cell r="J82" t="str">
            <v>101225623200</v>
          </cell>
        </row>
        <row r="83">
          <cell r="G83">
            <v>5184</v>
          </cell>
          <cell r="I83">
            <v>25626000</v>
          </cell>
          <cell r="J83" t="str">
            <v>101225626000</v>
          </cell>
        </row>
        <row r="84">
          <cell r="G84">
            <v>4269.96</v>
          </cell>
          <cell r="I84">
            <v>25626100</v>
          </cell>
          <cell r="J84" t="str">
            <v>101225626100</v>
          </cell>
        </row>
        <row r="85">
          <cell r="G85">
            <v>39027.96</v>
          </cell>
          <cell r="I85">
            <v>25626200</v>
          </cell>
          <cell r="J85" t="str">
            <v>101225626200</v>
          </cell>
        </row>
        <row r="86">
          <cell r="G86">
            <v>19309.64</v>
          </cell>
          <cell r="I86">
            <v>69063000</v>
          </cell>
          <cell r="J86" t="str">
            <v>101269063000</v>
          </cell>
        </row>
        <row r="87">
          <cell r="G87">
            <v>3521.38</v>
          </cell>
          <cell r="I87">
            <v>69073000</v>
          </cell>
          <cell r="J87" t="str">
            <v>101269073000</v>
          </cell>
        </row>
        <row r="88">
          <cell r="G88">
            <v>0</v>
          </cell>
          <cell r="I88">
            <v>69522000</v>
          </cell>
          <cell r="J88" t="str">
            <v>101269522000</v>
          </cell>
        </row>
        <row r="89">
          <cell r="G89">
            <v>0</v>
          </cell>
          <cell r="I89">
            <v>69523000</v>
          </cell>
          <cell r="J89" t="str">
            <v>101269523000</v>
          </cell>
        </row>
        <row r="90">
          <cell r="G90">
            <v>0</v>
          </cell>
          <cell r="I90">
            <v>69524000</v>
          </cell>
          <cell r="J90" t="str">
            <v>101269524000</v>
          </cell>
        </row>
        <row r="91">
          <cell r="G91">
            <v>-192969.99</v>
          </cell>
          <cell r="J91" t="str">
            <v>1012</v>
          </cell>
        </row>
        <row r="92">
          <cell r="G92">
            <v>0</v>
          </cell>
          <cell r="I92">
            <v>18504000</v>
          </cell>
          <cell r="J92" t="str">
            <v>101318504000</v>
          </cell>
        </row>
        <row r="93">
          <cell r="G93">
            <v>-4044</v>
          </cell>
          <cell r="I93">
            <v>18504500</v>
          </cell>
          <cell r="J93" t="str">
            <v>101318504500</v>
          </cell>
        </row>
        <row r="94">
          <cell r="G94">
            <v>19212</v>
          </cell>
          <cell r="I94">
            <v>18505100</v>
          </cell>
          <cell r="J94" t="str">
            <v>101318505100</v>
          </cell>
        </row>
        <row r="95">
          <cell r="G95">
            <v>1200</v>
          </cell>
          <cell r="I95">
            <v>25510300</v>
          </cell>
          <cell r="J95" t="str">
            <v>101325510300</v>
          </cell>
        </row>
        <row r="96">
          <cell r="G96">
            <v>420</v>
          </cell>
          <cell r="I96">
            <v>25510400</v>
          </cell>
          <cell r="J96" t="str">
            <v>101325510400</v>
          </cell>
        </row>
        <row r="97">
          <cell r="G97">
            <v>936</v>
          </cell>
          <cell r="I97">
            <v>25621100</v>
          </cell>
          <cell r="J97" t="str">
            <v>101325621100</v>
          </cell>
        </row>
        <row r="98">
          <cell r="G98">
            <v>-780</v>
          </cell>
          <cell r="I98">
            <v>25622000</v>
          </cell>
          <cell r="J98" t="str">
            <v>101325622000</v>
          </cell>
        </row>
        <row r="99">
          <cell r="G99">
            <v>-1025.04</v>
          </cell>
          <cell r="I99">
            <v>25623200</v>
          </cell>
          <cell r="J99" t="str">
            <v>101325623200</v>
          </cell>
        </row>
        <row r="100">
          <cell r="G100">
            <v>480</v>
          </cell>
          <cell r="I100">
            <v>25626200</v>
          </cell>
          <cell r="J100" t="str">
            <v>101325626200</v>
          </cell>
        </row>
        <row r="101">
          <cell r="G101">
            <v>276</v>
          </cell>
          <cell r="I101">
            <v>25626300</v>
          </cell>
          <cell r="J101" t="str">
            <v>101325626300</v>
          </cell>
        </row>
        <row r="102">
          <cell r="G102">
            <v>0</v>
          </cell>
          <cell r="I102">
            <v>69063000</v>
          </cell>
          <cell r="J102" t="str">
            <v>101369063000</v>
          </cell>
        </row>
        <row r="103">
          <cell r="G103">
            <v>0</v>
          </cell>
          <cell r="I103">
            <v>69073000</v>
          </cell>
          <cell r="J103" t="str">
            <v>101369073000</v>
          </cell>
        </row>
        <row r="104">
          <cell r="G104">
            <v>0</v>
          </cell>
          <cell r="I104">
            <v>69524000</v>
          </cell>
          <cell r="J104" t="str">
            <v>101369524000</v>
          </cell>
        </row>
        <row r="105">
          <cell r="G105">
            <v>0</v>
          </cell>
          <cell r="I105">
            <v>69525000</v>
          </cell>
          <cell r="J105" t="str">
            <v>101369525000</v>
          </cell>
        </row>
        <row r="106">
          <cell r="G106">
            <v>16674.96</v>
          </cell>
          <cell r="J106" t="str">
            <v>1013</v>
          </cell>
        </row>
        <row r="107">
          <cell r="G107">
            <v>-2088</v>
          </cell>
          <cell r="I107">
            <v>18504000</v>
          </cell>
          <cell r="J107" t="str">
            <v>101418504000</v>
          </cell>
        </row>
        <row r="108">
          <cell r="G108">
            <v>300</v>
          </cell>
          <cell r="I108">
            <v>18504500</v>
          </cell>
          <cell r="J108" t="str">
            <v>101418504500</v>
          </cell>
        </row>
        <row r="109">
          <cell r="G109">
            <v>29.76</v>
          </cell>
          <cell r="I109">
            <v>25510300</v>
          </cell>
          <cell r="J109" t="str">
            <v>101425510300</v>
          </cell>
        </row>
        <row r="110">
          <cell r="G110">
            <v>8.76</v>
          </cell>
          <cell r="I110">
            <v>25621100</v>
          </cell>
          <cell r="J110" t="str">
            <v>101425621100</v>
          </cell>
        </row>
        <row r="111">
          <cell r="G111">
            <v>1073.28</v>
          </cell>
          <cell r="I111">
            <v>25622000</v>
          </cell>
          <cell r="J111" t="str">
            <v>101425622000</v>
          </cell>
        </row>
        <row r="112">
          <cell r="G112">
            <v>8.52</v>
          </cell>
          <cell r="I112">
            <v>25626200</v>
          </cell>
          <cell r="J112" t="str">
            <v>101425626200</v>
          </cell>
        </row>
        <row r="113">
          <cell r="G113">
            <v>24</v>
          </cell>
          <cell r="I113">
            <v>69063000</v>
          </cell>
          <cell r="J113" t="str">
            <v>101469063000</v>
          </cell>
        </row>
        <row r="114">
          <cell r="G114">
            <v>0</v>
          </cell>
          <cell r="I114">
            <v>69524000</v>
          </cell>
          <cell r="J114" t="str">
            <v>101469524000</v>
          </cell>
        </row>
        <row r="115">
          <cell r="G115">
            <v>-643.67999999999995</v>
          </cell>
          <cell r="J115" t="str">
            <v>1014</v>
          </cell>
        </row>
        <row r="116">
          <cell r="G116">
            <v>20820</v>
          </cell>
          <cell r="I116">
            <v>18504500</v>
          </cell>
          <cell r="J116" t="str">
            <v>101518504500</v>
          </cell>
        </row>
        <row r="117">
          <cell r="G117">
            <v>53268</v>
          </cell>
          <cell r="I117">
            <v>25510300</v>
          </cell>
          <cell r="J117" t="str">
            <v>101525510300</v>
          </cell>
        </row>
        <row r="118">
          <cell r="G118">
            <v>28520.25</v>
          </cell>
          <cell r="I118">
            <v>25510400</v>
          </cell>
          <cell r="J118" t="str">
            <v>101525510400</v>
          </cell>
        </row>
        <row r="119">
          <cell r="G119">
            <v>48744</v>
          </cell>
          <cell r="I119">
            <v>25621000</v>
          </cell>
          <cell r="J119" t="str">
            <v>101525621000</v>
          </cell>
        </row>
        <row r="120">
          <cell r="G120">
            <v>-4776</v>
          </cell>
          <cell r="I120">
            <v>25622000</v>
          </cell>
          <cell r="J120" t="str">
            <v>101525622000</v>
          </cell>
        </row>
        <row r="121">
          <cell r="G121">
            <v>1008</v>
          </cell>
          <cell r="I121">
            <v>25623200</v>
          </cell>
          <cell r="J121" t="str">
            <v>101525623200</v>
          </cell>
        </row>
        <row r="122">
          <cell r="G122">
            <v>26540.04</v>
          </cell>
          <cell r="I122">
            <v>25626200</v>
          </cell>
          <cell r="J122" t="str">
            <v>101525626200</v>
          </cell>
        </row>
        <row r="123">
          <cell r="G123">
            <v>14049</v>
          </cell>
          <cell r="I123">
            <v>25626300</v>
          </cell>
          <cell r="J123" t="str">
            <v>101525626300</v>
          </cell>
        </row>
        <row r="124">
          <cell r="G124">
            <v>-3</v>
          </cell>
          <cell r="I124">
            <v>69063000</v>
          </cell>
          <cell r="J124" t="str">
            <v>101569063000</v>
          </cell>
        </row>
        <row r="125">
          <cell r="G125">
            <v>-3</v>
          </cell>
          <cell r="I125">
            <v>69073000</v>
          </cell>
          <cell r="J125" t="str">
            <v>101569073000</v>
          </cell>
        </row>
        <row r="126">
          <cell r="G126">
            <v>0</v>
          </cell>
          <cell r="I126">
            <v>69524000</v>
          </cell>
          <cell r="J126" t="str">
            <v>101569524000</v>
          </cell>
        </row>
        <row r="127">
          <cell r="G127">
            <v>50.77</v>
          </cell>
          <cell r="I127">
            <v>69525000</v>
          </cell>
          <cell r="J127" t="str">
            <v>101569525000</v>
          </cell>
        </row>
        <row r="128">
          <cell r="G128">
            <v>188218.06</v>
          </cell>
          <cell r="J128" t="str">
            <v>1015</v>
          </cell>
        </row>
        <row r="129">
          <cell r="G129">
            <v>-279636</v>
          </cell>
          <cell r="I129">
            <v>18504000</v>
          </cell>
          <cell r="J129" t="str">
            <v>101718504000</v>
          </cell>
        </row>
        <row r="130">
          <cell r="G130">
            <v>41172</v>
          </cell>
          <cell r="I130">
            <v>18504500</v>
          </cell>
          <cell r="J130" t="str">
            <v>101718504500</v>
          </cell>
        </row>
        <row r="131">
          <cell r="G131">
            <v>101070</v>
          </cell>
          <cell r="I131">
            <v>25510100</v>
          </cell>
          <cell r="J131" t="str">
            <v>101725510100</v>
          </cell>
        </row>
        <row r="132">
          <cell r="G132">
            <v>1692</v>
          </cell>
          <cell r="I132">
            <v>25510200</v>
          </cell>
          <cell r="J132" t="str">
            <v>101725510200</v>
          </cell>
        </row>
        <row r="133">
          <cell r="G133">
            <v>27648</v>
          </cell>
          <cell r="I133">
            <v>25510300</v>
          </cell>
          <cell r="J133" t="str">
            <v>101725510300</v>
          </cell>
        </row>
        <row r="134">
          <cell r="G134">
            <v>29976</v>
          </cell>
          <cell r="I134">
            <v>25621000</v>
          </cell>
          <cell r="J134" t="str">
            <v>101725621000</v>
          </cell>
        </row>
        <row r="135">
          <cell r="G135">
            <v>9600</v>
          </cell>
          <cell r="I135">
            <v>25621200</v>
          </cell>
          <cell r="J135" t="str">
            <v>101725621200</v>
          </cell>
        </row>
        <row r="136">
          <cell r="G136">
            <v>-1620</v>
          </cell>
          <cell r="I136">
            <v>25622000</v>
          </cell>
          <cell r="J136" t="str">
            <v>101725622000</v>
          </cell>
        </row>
        <row r="137">
          <cell r="G137">
            <v>-7476</v>
          </cell>
          <cell r="I137">
            <v>25623200</v>
          </cell>
          <cell r="J137" t="str">
            <v>101725623200</v>
          </cell>
        </row>
        <row r="138">
          <cell r="G138">
            <v>62928</v>
          </cell>
          <cell r="I138">
            <v>25626000</v>
          </cell>
          <cell r="J138" t="str">
            <v>101725626000</v>
          </cell>
        </row>
        <row r="139">
          <cell r="G139">
            <v>1020</v>
          </cell>
          <cell r="I139">
            <v>25626100</v>
          </cell>
          <cell r="J139" t="str">
            <v>101725626100</v>
          </cell>
        </row>
        <row r="140">
          <cell r="G140">
            <v>13476</v>
          </cell>
          <cell r="I140">
            <v>25626200</v>
          </cell>
          <cell r="J140" t="str">
            <v>101725626200</v>
          </cell>
        </row>
        <row r="141">
          <cell r="G141">
            <v>0</v>
          </cell>
          <cell r="I141">
            <v>69012500</v>
          </cell>
          <cell r="J141" t="str">
            <v>101769012500</v>
          </cell>
        </row>
        <row r="142">
          <cell r="G142">
            <v>0</v>
          </cell>
          <cell r="I142">
            <v>69022500</v>
          </cell>
          <cell r="J142" t="str">
            <v>101769022500</v>
          </cell>
        </row>
        <row r="143">
          <cell r="G143">
            <v>0</v>
          </cell>
          <cell r="I143">
            <v>69031500</v>
          </cell>
          <cell r="J143" t="str">
            <v>101769031500</v>
          </cell>
        </row>
        <row r="144">
          <cell r="G144">
            <v>0</v>
          </cell>
          <cell r="I144">
            <v>69041500</v>
          </cell>
          <cell r="J144" t="str">
            <v>101769041500</v>
          </cell>
        </row>
        <row r="145">
          <cell r="G145">
            <v>5381.46</v>
          </cell>
          <cell r="I145">
            <v>69063000</v>
          </cell>
          <cell r="J145" t="str">
            <v>101769063000</v>
          </cell>
        </row>
        <row r="146">
          <cell r="G146">
            <v>846.54</v>
          </cell>
          <cell r="I146">
            <v>69073000</v>
          </cell>
          <cell r="J146" t="str">
            <v>101769073000</v>
          </cell>
        </row>
        <row r="147">
          <cell r="G147">
            <v>0</v>
          </cell>
          <cell r="I147">
            <v>69522000</v>
          </cell>
          <cell r="J147" t="str">
            <v>101769522000</v>
          </cell>
        </row>
        <row r="148">
          <cell r="G148">
            <v>0</v>
          </cell>
          <cell r="I148">
            <v>69523000</v>
          </cell>
          <cell r="J148" t="str">
            <v>101769523000</v>
          </cell>
        </row>
        <row r="149">
          <cell r="G149">
            <v>0</v>
          </cell>
          <cell r="I149">
            <v>69524000</v>
          </cell>
          <cell r="J149" t="str">
            <v>101769524000</v>
          </cell>
        </row>
        <row r="150">
          <cell r="G150">
            <v>6078</v>
          </cell>
          <cell r="J150" t="str">
            <v>1017</v>
          </cell>
        </row>
        <row r="151">
          <cell r="G151">
            <v>-586536</v>
          </cell>
          <cell r="I151">
            <v>18504000</v>
          </cell>
          <cell r="J151" t="str">
            <v>101818504000</v>
          </cell>
        </row>
        <row r="152">
          <cell r="G152">
            <v>-461412</v>
          </cell>
          <cell r="I152">
            <v>18504500</v>
          </cell>
          <cell r="J152" t="str">
            <v>101818504500</v>
          </cell>
        </row>
        <row r="153">
          <cell r="G153">
            <v>213929.04</v>
          </cell>
          <cell r="I153">
            <v>25510100</v>
          </cell>
          <cell r="J153" t="str">
            <v>101825510100</v>
          </cell>
        </row>
        <row r="154">
          <cell r="G154">
            <v>12463.2</v>
          </cell>
          <cell r="I154">
            <v>25510200</v>
          </cell>
          <cell r="J154" t="str">
            <v>101825510200</v>
          </cell>
        </row>
        <row r="155">
          <cell r="G155">
            <v>129744</v>
          </cell>
          <cell r="I155">
            <v>25510300</v>
          </cell>
          <cell r="J155" t="str">
            <v>101825510300</v>
          </cell>
        </row>
        <row r="156">
          <cell r="G156">
            <v>205680</v>
          </cell>
          <cell r="I156">
            <v>25621000</v>
          </cell>
          <cell r="J156" t="str">
            <v>101825621000</v>
          </cell>
        </row>
        <row r="157">
          <cell r="G157">
            <v>-45828</v>
          </cell>
          <cell r="I157">
            <v>25621200</v>
          </cell>
          <cell r="J157" t="str">
            <v>101825621200</v>
          </cell>
        </row>
        <row r="158">
          <cell r="G158">
            <v>5988</v>
          </cell>
          <cell r="I158">
            <v>25626000</v>
          </cell>
          <cell r="J158" t="str">
            <v>101825626000</v>
          </cell>
        </row>
        <row r="159">
          <cell r="G159">
            <v>6636</v>
          </cell>
          <cell r="I159">
            <v>25626100</v>
          </cell>
          <cell r="J159" t="str">
            <v>101825626100</v>
          </cell>
        </row>
        <row r="160">
          <cell r="G160">
            <v>167436</v>
          </cell>
          <cell r="I160">
            <v>25626200</v>
          </cell>
          <cell r="J160" t="str">
            <v>101825626200</v>
          </cell>
        </row>
        <row r="161">
          <cell r="G161">
            <v>0</v>
          </cell>
          <cell r="I161">
            <v>69063000</v>
          </cell>
          <cell r="J161" t="str">
            <v>101869063000</v>
          </cell>
        </row>
        <row r="162">
          <cell r="G162">
            <v>0</v>
          </cell>
          <cell r="I162">
            <v>69522000</v>
          </cell>
          <cell r="J162" t="str">
            <v>101869522000</v>
          </cell>
        </row>
        <row r="163">
          <cell r="G163">
            <v>0</v>
          </cell>
          <cell r="I163">
            <v>69523000</v>
          </cell>
          <cell r="J163" t="str">
            <v>101869523000</v>
          </cell>
        </row>
        <row r="164">
          <cell r="G164">
            <v>0</v>
          </cell>
          <cell r="I164">
            <v>69524000</v>
          </cell>
          <cell r="J164" t="str">
            <v>101869524000</v>
          </cell>
        </row>
        <row r="165">
          <cell r="G165">
            <v>-351899.76</v>
          </cell>
          <cell r="J165" t="str">
            <v>1018</v>
          </cell>
        </row>
        <row r="166">
          <cell r="G166">
            <v>-1484436</v>
          </cell>
          <cell r="I166">
            <v>18504000</v>
          </cell>
          <cell r="J166" t="str">
            <v>102418504000</v>
          </cell>
        </row>
        <row r="167">
          <cell r="G167">
            <v>84876</v>
          </cell>
          <cell r="I167">
            <v>18504500</v>
          </cell>
          <cell r="J167" t="str">
            <v>102418504500</v>
          </cell>
        </row>
        <row r="168">
          <cell r="G168">
            <v>2523138</v>
          </cell>
          <cell r="I168">
            <v>18505000</v>
          </cell>
          <cell r="J168" t="str">
            <v>102418505000</v>
          </cell>
        </row>
        <row r="169">
          <cell r="G169">
            <v>-12726.96</v>
          </cell>
          <cell r="I169">
            <v>18505100</v>
          </cell>
          <cell r="J169" t="str">
            <v>102418505100</v>
          </cell>
        </row>
        <row r="170">
          <cell r="G170">
            <v>15804</v>
          </cell>
          <cell r="I170">
            <v>25510100</v>
          </cell>
          <cell r="J170" t="str">
            <v>102425510100</v>
          </cell>
        </row>
        <row r="171">
          <cell r="G171">
            <v>14340</v>
          </cell>
          <cell r="I171">
            <v>25510200</v>
          </cell>
          <cell r="J171" t="str">
            <v>102425510200</v>
          </cell>
        </row>
        <row r="172">
          <cell r="G172">
            <v>203448</v>
          </cell>
          <cell r="I172">
            <v>25510300</v>
          </cell>
          <cell r="J172" t="str">
            <v>102425510300</v>
          </cell>
        </row>
        <row r="173">
          <cell r="G173">
            <v>34704</v>
          </cell>
          <cell r="I173">
            <v>25621100</v>
          </cell>
          <cell r="J173" t="str">
            <v>102425621100</v>
          </cell>
        </row>
        <row r="174">
          <cell r="G174">
            <v>63804</v>
          </cell>
          <cell r="I174">
            <v>25621200</v>
          </cell>
          <cell r="J174" t="str">
            <v>102425621200</v>
          </cell>
        </row>
        <row r="175">
          <cell r="G175">
            <v>-30312</v>
          </cell>
          <cell r="I175">
            <v>25622000</v>
          </cell>
          <cell r="J175" t="str">
            <v>102425622000</v>
          </cell>
        </row>
        <row r="176">
          <cell r="G176">
            <v>10476</v>
          </cell>
          <cell r="I176">
            <v>25623100</v>
          </cell>
          <cell r="J176" t="str">
            <v>102425623100</v>
          </cell>
        </row>
        <row r="177">
          <cell r="G177">
            <v>20232</v>
          </cell>
          <cell r="I177">
            <v>25623200</v>
          </cell>
          <cell r="J177" t="str">
            <v>102425623200</v>
          </cell>
        </row>
        <row r="178">
          <cell r="G178">
            <v>11208</v>
          </cell>
          <cell r="I178">
            <v>25626000</v>
          </cell>
          <cell r="J178" t="str">
            <v>102425626000</v>
          </cell>
        </row>
        <row r="179">
          <cell r="G179">
            <v>10176</v>
          </cell>
          <cell r="I179">
            <v>25626100</v>
          </cell>
          <cell r="J179" t="str">
            <v>102425626100</v>
          </cell>
        </row>
        <row r="180">
          <cell r="G180">
            <v>108252</v>
          </cell>
          <cell r="I180">
            <v>25626200</v>
          </cell>
          <cell r="J180" t="str">
            <v>102425626200</v>
          </cell>
        </row>
        <row r="181">
          <cell r="G181">
            <v>95692</v>
          </cell>
          <cell r="I181">
            <v>69063000</v>
          </cell>
          <cell r="J181" t="str">
            <v>102469063000</v>
          </cell>
        </row>
        <row r="182">
          <cell r="G182">
            <v>5462124</v>
          </cell>
          <cell r="I182">
            <v>69073000</v>
          </cell>
          <cell r="J182" t="str">
            <v>102469073000</v>
          </cell>
        </row>
        <row r="183">
          <cell r="G183">
            <v>0</v>
          </cell>
          <cell r="I183">
            <v>69522000</v>
          </cell>
          <cell r="J183" t="str">
            <v>102469522000</v>
          </cell>
        </row>
        <row r="184">
          <cell r="G184">
            <v>0</v>
          </cell>
          <cell r="I184">
            <v>69523000</v>
          </cell>
          <cell r="J184" t="str">
            <v>102469523000</v>
          </cell>
        </row>
        <row r="185">
          <cell r="G185">
            <v>0</v>
          </cell>
          <cell r="I185">
            <v>69524000</v>
          </cell>
          <cell r="J185" t="str">
            <v>102469524000</v>
          </cell>
        </row>
        <row r="186">
          <cell r="G186">
            <v>7130799.04</v>
          </cell>
          <cell r="J186" t="str">
            <v>1024</v>
          </cell>
        </row>
        <row r="187">
          <cell r="G187">
            <v>-323337</v>
          </cell>
          <cell r="I187">
            <v>18504000</v>
          </cell>
          <cell r="J187" t="str">
            <v>102518504000</v>
          </cell>
        </row>
        <row r="188">
          <cell r="G188">
            <v>3750.96</v>
          </cell>
          <cell r="I188">
            <v>18504500</v>
          </cell>
          <cell r="J188" t="str">
            <v>102518504500</v>
          </cell>
        </row>
        <row r="189">
          <cell r="G189">
            <v>242.04</v>
          </cell>
          <cell r="I189">
            <v>25510100</v>
          </cell>
          <cell r="J189" t="str">
            <v>102525510100</v>
          </cell>
        </row>
        <row r="190">
          <cell r="G190">
            <v>1649.04</v>
          </cell>
          <cell r="I190">
            <v>25510200</v>
          </cell>
          <cell r="J190" t="str">
            <v>102525510200</v>
          </cell>
        </row>
        <row r="191">
          <cell r="G191">
            <v>82046.039999999994</v>
          </cell>
          <cell r="I191">
            <v>25510300</v>
          </cell>
          <cell r="J191" t="str">
            <v>102525510300</v>
          </cell>
        </row>
        <row r="192">
          <cell r="G192">
            <v>100715.04</v>
          </cell>
          <cell r="I192">
            <v>25510500</v>
          </cell>
          <cell r="J192" t="str">
            <v>102525510500</v>
          </cell>
        </row>
        <row r="193">
          <cell r="G193">
            <v>161916</v>
          </cell>
          <cell r="I193">
            <v>25621000</v>
          </cell>
          <cell r="J193" t="str">
            <v>102525621000</v>
          </cell>
        </row>
        <row r="194">
          <cell r="G194">
            <v>-34800</v>
          </cell>
          <cell r="I194">
            <v>25622000</v>
          </cell>
          <cell r="J194" t="str">
            <v>102525622000</v>
          </cell>
        </row>
        <row r="195">
          <cell r="G195">
            <v>-7452</v>
          </cell>
          <cell r="I195">
            <v>25623000</v>
          </cell>
          <cell r="J195" t="str">
            <v>102525623000</v>
          </cell>
        </row>
        <row r="196">
          <cell r="G196">
            <v>-12495.95</v>
          </cell>
          <cell r="I196">
            <v>25623200</v>
          </cell>
          <cell r="J196" t="str">
            <v>102525623200</v>
          </cell>
        </row>
        <row r="197">
          <cell r="G197">
            <v>178698.96</v>
          </cell>
          <cell r="I197">
            <v>25624000</v>
          </cell>
          <cell r="J197" t="str">
            <v>102525624000</v>
          </cell>
        </row>
        <row r="198">
          <cell r="G198">
            <v>161.52000000000001</v>
          </cell>
          <cell r="I198">
            <v>25626000</v>
          </cell>
          <cell r="J198" t="str">
            <v>102525626000</v>
          </cell>
        </row>
        <row r="199">
          <cell r="G199">
            <v>1417.44</v>
          </cell>
          <cell r="I199">
            <v>25626100</v>
          </cell>
          <cell r="J199" t="str">
            <v>102525626100</v>
          </cell>
        </row>
        <row r="200">
          <cell r="G200">
            <v>47044.68</v>
          </cell>
          <cell r="I200">
            <v>25626200</v>
          </cell>
          <cell r="J200" t="str">
            <v>102525626200</v>
          </cell>
        </row>
        <row r="201">
          <cell r="G201">
            <v>62043.96</v>
          </cell>
          <cell r="I201">
            <v>25626500</v>
          </cell>
          <cell r="J201" t="str">
            <v>102525626500</v>
          </cell>
        </row>
        <row r="202">
          <cell r="G202">
            <v>10141.5</v>
          </cell>
          <cell r="I202">
            <v>69063000</v>
          </cell>
          <cell r="J202" t="str">
            <v>102569063000</v>
          </cell>
        </row>
        <row r="203">
          <cell r="G203">
            <v>18655.689999999999</v>
          </cell>
          <cell r="I203">
            <v>69073000</v>
          </cell>
          <cell r="J203" t="str">
            <v>102569073000</v>
          </cell>
        </row>
        <row r="204">
          <cell r="G204">
            <v>496.92</v>
          </cell>
          <cell r="I204">
            <v>69522000</v>
          </cell>
          <cell r="J204" t="str">
            <v>102569522000</v>
          </cell>
        </row>
        <row r="205">
          <cell r="G205">
            <v>525</v>
          </cell>
          <cell r="I205">
            <v>69523000</v>
          </cell>
          <cell r="J205" t="str">
            <v>102569523000</v>
          </cell>
        </row>
        <row r="206">
          <cell r="G206">
            <v>23067</v>
          </cell>
          <cell r="I206">
            <v>69524000</v>
          </cell>
          <cell r="J206" t="str">
            <v>102569524000</v>
          </cell>
        </row>
        <row r="207">
          <cell r="G207">
            <v>0</v>
          </cell>
          <cell r="I207">
            <v>69550000</v>
          </cell>
          <cell r="J207" t="str">
            <v>102569550000</v>
          </cell>
        </row>
        <row r="208">
          <cell r="G208">
            <v>314486.84000000003</v>
          </cell>
          <cell r="J208" t="str">
            <v>1025</v>
          </cell>
        </row>
        <row r="209">
          <cell r="G209">
            <v>-617640</v>
          </cell>
          <cell r="I209">
            <v>18504000</v>
          </cell>
          <cell r="J209" t="str">
            <v>102618504000</v>
          </cell>
        </row>
        <row r="210">
          <cell r="G210">
            <v>-90828</v>
          </cell>
          <cell r="I210">
            <v>18504500</v>
          </cell>
          <cell r="J210" t="str">
            <v>102618504500</v>
          </cell>
        </row>
        <row r="211">
          <cell r="G211">
            <v>44232</v>
          </cell>
          <cell r="I211">
            <v>18505100</v>
          </cell>
          <cell r="J211" t="str">
            <v>102618505100</v>
          </cell>
        </row>
        <row r="212">
          <cell r="G212">
            <v>3096</v>
          </cell>
          <cell r="I212">
            <v>25510100</v>
          </cell>
          <cell r="J212" t="str">
            <v>102625510100</v>
          </cell>
        </row>
        <row r="213">
          <cell r="G213">
            <v>4764</v>
          </cell>
          <cell r="I213">
            <v>25510200</v>
          </cell>
          <cell r="J213" t="str">
            <v>102625510200</v>
          </cell>
        </row>
        <row r="214">
          <cell r="G214">
            <v>68508</v>
          </cell>
          <cell r="I214">
            <v>25510300</v>
          </cell>
          <cell r="J214" t="str">
            <v>102625510300</v>
          </cell>
        </row>
        <row r="215">
          <cell r="G215">
            <v>14664</v>
          </cell>
          <cell r="I215">
            <v>25621100</v>
          </cell>
          <cell r="J215" t="str">
            <v>102625621100</v>
          </cell>
        </row>
        <row r="216">
          <cell r="G216">
            <v>-17244</v>
          </cell>
          <cell r="I216">
            <v>25622000</v>
          </cell>
          <cell r="J216" t="str">
            <v>102625622000</v>
          </cell>
        </row>
        <row r="217">
          <cell r="G217">
            <v>-8244.9599999999991</v>
          </cell>
          <cell r="I217">
            <v>25623200</v>
          </cell>
          <cell r="J217" t="str">
            <v>102625623200</v>
          </cell>
        </row>
        <row r="218">
          <cell r="G218">
            <v>1980</v>
          </cell>
          <cell r="I218">
            <v>25626000</v>
          </cell>
          <cell r="J218" t="str">
            <v>102625626000</v>
          </cell>
        </row>
        <row r="219">
          <cell r="G219">
            <v>3048</v>
          </cell>
          <cell r="I219">
            <v>25626100</v>
          </cell>
          <cell r="J219" t="str">
            <v>102625626100</v>
          </cell>
        </row>
        <row r="220">
          <cell r="G220">
            <v>39612</v>
          </cell>
          <cell r="I220">
            <v>25626200</v>
          </cell>
          <cell r="J220" t="str">
            <v>102625626200</v>
          </cell>
        </row>
        <row r="221">
          <cell r="G221">
            <v>16138.77</v>
          </cell>
          <cell r="I221">
            <v>69063000</v>
          </cell>
          <cell r="J221" t="str">
            <v>102669063000</v>
          </cell>
        </row>
        <row r="222">
          <cell r="G222">
            <v>3205.23</v>
          </cell>
          <cell r="I222">
            <v>69073000</v>
          </cell>
          <cell r="J222" t="str">
            <v>102669073000</v>
          </cell>
        </row>
        <row r="223">
          <cell r="G223">
            <v>0</v>
          </cell>
          <cell r="I223">
            <v>69522000</v>
          </cell>
          <cell r="J223" t="str">
            <v>102669522000</v>
          </cell>
        </row>
        <row r="224">
          <cell r="G224">
            <v>0</v>
          </cell>
          <cell r="I224">
            <v>69523000</v>
          </cell>
          <cell r="J224" t="str">
            <v>102669523000</v>
          </cell>
        </row>
        <row r="225">
          <cell r="G225">
            <v>0</v>
          </cell>
          <cell r="I225">
            <v>69524000</v>
          </cell>
          <cell r="J225" t="str">
            <v>102669524000</v>
          </cell>
        </row>
        <row r="226">
          <cell r="G226">
            <v>-534708.96</v>
          </cell>
          <cell r="J226" t="str">
            <v>1026</v>
          </cell>
        </row>
        <row r="227">
          <cell r="G227">
            <v>-200568</v>
          </cell>
          <cell r="I227">
            <v>18504000</v>
          </cell>
          <cell r="J227" t="str">
            <v>102718504000</v>
          </cell>
        </row>
        <row r="228">
          <cell r="G228">
            <v>3168</v>
          </cell>
          <cell r="I228">
            <v>25510100</v>
          </cell>
          <cell r="J228" t="str">
            <v>102725510100</v>
          </cell>
        </row>
        <row r="229">
          <cell r="G229">
            <v>1392</v>
          </cell>
          <cell r="I229">
            <v>25510200</v>
          </cell>
          <cell r="J229" t="str">
            <v>102725510200</v>
          </cell>
        </row>
        <row r="230">
          <cell r="G230">
            <v>29244</v>
          </cell>
          <cell r="I230">
            <v>25510300</v>
          </cell>
          <cell r="J230" t="str">
            <v>102725510300</v>
          </cell>
        </row>
        <row r="231">
          <cell r="G231">
            <v>8628</v>
          </cell>
          <cell r="I231">
            <v>25621200</v>
          </cell>
          <cell r="J231" t="str">
            <v>102725621200</v>
          </cell>
        </row>
        <row r="232">
          <cell r="G232">
            <v>-5748</v>
          </cell>
          <cell r="I232">
            <v>25622000</v>
          </cell>
          <cell r="J232" t="str">
            <v>102725622000</v>
          </cell>
        </row>
        <row r="233">
          <cell r="G233">
            <v>1260</v>
          </cell>
          <cell r="I233">
            <v>25626000</v>
          </cell>
          <cell r="J233" t="str">
            <v>102725626000</v>
          </cell>
        </row>
        <row r="234">
          <cell r="G234">
            <v>756</v>
          </cell>
          <cell r="I234">
            <v>25626100</v>
          </cell>
          <cell r="J234" t="str">
            <v>102725626100</v>
          </cell>
        </row>
        <row r="235">
          <cell r="G235">
            <v>12480</v>
          </cell>
          <cell r="I235">
            <v>25626200</v>
          </cell>
          <cell r="J235" t="str">
            <v>102725626200</v>
          </cell>
        </row>
        <row r="236">
          <cell r="G236">
            <v>7644</v>
          </cell>
          <cell r="I236">
            <v>69063000</v>
          </cell>
          <cell r="J236" t="str">
            <v>102769063000</v>
          </cell>
        </row>
        <row r="237">
          <cell r="G237">
            <v>0</v>
          </cell>
          <cell r="I237">
            <v>69522000</v>
          </cell>
          <cell r="J237" t="str">
            <v>102769522000</v>
          </cell>
        </row>
        <row r="238">
          <cell r="G238">
            <v>0</v>
          </cell>
          <cell r="I238">
            <v>69523000</v>
          </cell>
          <cell r="J238" t="str">
            <v>102769523000</v>
          </cell>
        </row>
        <row r="239">
          <cell r="G239">
            <v>0</v>
          </cell>
          <cell r="I239">
            <v>69524000</v>
          </cell>
          <cell r="J239" t="str">
            <v>102769524000</v>
          </cell>
        </row>
        <row r="240">
          <cell r="G240">
            <v>-141744</v>
          </cell>
          <cell r="J240" t="str">
            <v>1027</v>
          </cell>
        </row>
        <row r="241">
          <cell r="G241">
            <v>-657707.04</v>
          </cell>
          <cell r="I241">
            <v>18504000</v>
          </cell>
          <cell r="J241" t="str">
            <v>102818504000</v>
          </cell>
        </row>
        <row r="242">
          <cell r="G242">
            <v>-3674.28</v>
          </cell>
          <cell r="I242">
            <v>18504500</v>
          </cell>
          <cell r="J242" t="str">
            <v>102818504500</v>
          </cell>
        </row>
        <row r="243">
          <cell r="G243">
            <v>349680</v>
          </cell>
          <cell r="I243">
            <v>18505000</v>
          </cell>
          <cell r="J243" t="str">
            <v>102818505000</v>
          </cell>
        </row>
        <row r="244">
          <cell r="G244">
            <v>39402</v>
          </cell>
          <cell r="I244">
            <v>25510300</v>
          </cell>
          <cell r="J244" t="str">
            <v>102825510300</v>
          </cell>
        </row>
        <row r="245">
          <cell r="G245">
            <v>24645.84</v>
          </cell>
          <cell r="I245">
            <v>25510400</v>
          </cell>
          <cell r="J245" t="str">
            <v>102825510400</v>
          </cell>
        </row>
        <row r="246">
          <cell r="G246">
            <v>23534.400000000001</v>
          </cell>
          <cell r="I246">
            <v>25621100</v>
          </cell>
          <cell r="J246" t="str">
            <v>102825621100</v>
          </cell>
        </row>
        <row r="247">
          <cell r="G247">
            <v>-22398.959999999999</v>
          </cell>
          <cell r="I247">
            <v>25622000</v>
          </cell>
          <cell r="J247" t="str">
            <v>102825622000</v>
          </cell>
        </row>
        <row r="248">
          <cell r="G248">
            <v>-2013746.6</v>
          </cell>
          <cell r="I248">
            <v>25623200</v>
          </cell>
          <cell r="J248" t="str">
            <v>102825623200</v>
          </cell>
        </row>
        <row r="249">
          <cell r="G249">
            <v>15584.88</v>
          </cell>
          <cell r="I249">
            <v>25626200</v>
          </cell>
          <cell r="J249" t="str">
            <v>102825626200</v>
          </cell>
        </row>
        <row r="250">
          <cell r="G250">
            <v>7017.48</v>
          </cell>
          <cell r="I250">
            <v>25626300</v>
          </cell>
          <cell r="J250" t="str">
            <v>102825626300</v>
          </cell>
        </row>
        <row r="251">
          <cell r="G251">
            <v>35478.980000000003</v>
          </cell>
          <cell r="I251">
            <v>69063000</v>
          </cell>
          <cell r="J251" t="str">
            <v>102869063000</v>
          </cell>
        </row>
        <row r="252">
          <cell r="G252">
            <v>-56390.82</v>
          </cell>
          <cell r="I252">
            <v>69073000</v>
          </cell>
          <cell r="J252" t="str">
            <v>102869073000</v>
          </cell>
        </row>
        <row r="253">
          <cell r="G253">
            <v>0</v>
          </cell>
          <cell r="I253">
            <v>69524000</v>
          </cell>
          <cell r="J253" t="str">
            <v>102869524000</v>
          </cell>
        </row>
        <row r="254">
          <cell r="G254">
            <v>0</v>
          </cell>
          <cell r="I254">
            <v>69525000</v>
          </cell>
          <cell r="J254" t="str">
            <v>102869525000</v>
          </cell>
        </row>
        <row r="255">
          <cell r="G255">
            <v>-2258574.12</v>
          </cell>
          <cell r="J255" t="str">
            <v>1028</v>
          </cell>
        </row>
        <row r="256">
          <cell r="G256">
            <v>-323235</v>
          </cell>
          <cell r="I256">
            <v>18504000</v>
          </cell>
          <cell r="J256" t="str">
            <v>103818504000</v>
          </cell>
        </row>
        <row r="257">
          <cell r="G257">
            <v>15000</v>
          </cell>
          <cell r="I257">
            <v>25510100</v>
          </cell>
          <cell r="J257" t="str">
            <v>103825510100</v>
          </cell>
        </row>
        <row r="258">
          <cell r="G258">
            <v>16641</v>
          </cell>
          <cell r="I258">
            <v>25621200</v>
          </cell>
          <cell r="J258" t="str">
            <v>103825621200</v>
          </cell>
        </row>
        <row r="259">
          <cell r="G259">
            <v>0</v>
          </cell>
          <cell r="I259">
            <v>25623200</v>
          </cell>
          <cell r="J259" t="str">
            <v>103825623200</v>
          </cell>
        </row>
        <row r="260">
          <cell r="G260">
            <v>21176.87</v>
          </cell>
          <cell r="I260">
            <v>69063000</v>
          </cell>
          <cell r="J260" t="str">
            <v>103869063000</v>
          </cell>
        </row>
        <row r="261">
          <cell r="G261">
            <v>8586.1299999999992</v>
          </cell>
          <cell r="I261">
            <v>69073000</v>
          </cell>
          <cell r="J261" t="str">
            <v>103869073000</v>
          </cell>
        </row>
        <row r="262">
          <cell r="G262">
            <v>0</v>
          </cell>
          <cell r="I262">
            <v>69522000</v>
          </cell>
          <cell r="J262" t="str">
            <v>103869522000</v>
          </cell>
        </row>
        <row r="263">
          <cell r="G263">
            <v>-261831</v>
          </cell>
          <cell r="J263" t="str">
            <v>1038</v>
          </cell>
        </row>
        <row r="264">
          <cell r="J264" t="str">
            <v/>
          </cell>
        </row>
        <row r="265">
          <cell r="G265">
            <v>28031320.420000002</v>
          </cell>
          <cell r="J265" t="str">
            <v/>
          </cell>
        </row>
        <row r="266">
          <cell r="J266" t="str">
            <v/>
          </cell>
        </row>
        <row r="267">
          <cell r="J267" t="str">
            <v/>
          </cell>
        </row>
        <row r="268">
          <cell r="J268" t="str">
            <v/>
          </cell>
        </row>
        <row r="269">
          <cell r="J269" t="str">
            <v/>
          </cell>
        </row>
        <row r="270">
          <cell r="J270" t="str">
            <v/>
          </cell>
        </row>
        <row r="271">
          <cell r="J271" t="str">
            <v/>
          </cell>
        </row>
        <row r="272">
          <cell r="J272" t="str">
            <v/>
          </cell>
        </row>
        <row r="273">
          <cell r="J273" t="str">
            <v/>
          </cell>
        </row>
        <row r="274">
          <cell r="J274" t="str">
            <v/>
          </cell>
        </row>
        <row r="275">
          <cell r="J275" t="str">
            <v/>
          </cell>
        </row>
        <row r="276">
          <cell r="J276" t="str">
            <v/>
          </cell>
        </row>
        <row r="277">
          <cell r="J277" t="str">
            <v/>
          </cell>
        </row>
        <row r="278">
          <cell r="J278" t="str">
            <v/>
          </cell>
        </row>
        <row r="279">
          <cell r="J279" t="str">
            <v/>
          </cell>
        </row>
        <row r="280">
          <cell r="J280" t="str">
            <v/>
          </cell>
        </row>
        <row r="281">
          <cell r="J281" t="str">
            <v/>
          </cell>
        </row>
        <row r="282">
          <cell r="J282" t="str">
            <v/>
          </cell>
        </row>
        <row r="283">
          <cell r="J283" t="str">
            <v/>
          </cell>
        </row>
        <row r="284">
          <cell r="J284" t="str">
            <v/>
          </cell>
        </row>
        <row r="285">
          <cell r="J285" t="str">
            <v/>
          </cell>
        </row>
        <row r="286">
          <cell r="J286" t="str">
            <v/>
          </cell>
        </row>
        <row r="287">
          <cell r="J287" t="str">
            <v/>
          </cell>
        </row>
        <row r="288">
          <cell r="J288" t="str">
            <v/>
          </cell>
        </row>
        <row r="289">
          <cell r="J289" t="str">
            <v/>
          </cell>
        </row>
        <row r="290">
          <cell r="J290" t="str">
            <v/>
          </cell>
        </row>
        <row r="291">
          <cell r="J291" t="str">
            <v/>
          </cell>
        </row>
        <row r="292">
          <cell r="J292" t="str">
            <v/>
          </cell>
        </row>
        <row r="293">
          <cell r="J293" t="str">
            <v/>
          </cell>
        </row>
        <row r="294">
          <cell r="J294" t="str">
            <v/>
          </cell>
        </row>
        <row r="295">
          <cell r="J295" t="str">
            <v/>
          </cell>
        </row>
        <row r="296">
          <cell r="J296" t="str">
            <v/>
          </cell>
        </row>
        <row r="297">
          <cell r="J297" t="str">
            <v/>
          </cell>
        </row>
        <row r="298">
          <cell r="J298" t="str">
            <v/>
          </cell>
        </row>
        <row r="299">
          <cell r="J299" t="str">
            <v/>
          </cell>
        </row>
        <row r="300">
          <cell r="J300" t="str">
            <v/>
          </cell>
        </row>
        <row r="301">
          <cell r="J301" t="str">
            <v/>
          </cell>
        </row>
        <row r="302">
          <cell r="J302" t="str">
            <v/>
          </cell>
        </row>
        <row r="303">
          <cell r="J303" t="str">
            <v/>
          </cell>
        </row>
        <row r="304">
          <cell r="J304" t="str">
            <v/>
          </cell>
        </row>
        <row r="305">
          <cell r="J305" t="str">
            <v/>
          </cell>
        </row>
        <row r="306">
          <cell r="J306" t="str">
            <v/>
          </cell>
        </row>
        <row r="307">
          <cell r="J307" t="str">
            <v/>
          </cell>
        </row>
        <row r="308">
          <cell r="J308" t="str">
            <v/>
          </cell>
        </row>
        <row r="309">
          <cell r="J309" t="str">
            <v/>
          </cell>
        </row>
        <row r="310">
          <cell r="J310" t="str">
            <v/>
          </cell>
        </row>
        <row r="311">
          <cell r="J311" t="str">
            <v/>
          </cell>
        </row>
        <row r="312">
          <cell r="J312" t="str">
            <v/>
          </cell>
        </row>
        <row r="313">
          <cell r="J313" t="str">
            <v/>
          </cell>
        </row>
        <row r="314">
          <cell r="J314" t="str">
            <v/>
          </cell>
        </row>
        <row r="315">
          <cell r="J315" t="str">
            <v/>
          </cell>
        </row>
        <row r="316">
          <cell r="J316" t="str">
            <v/>
          </cell>
        </row>
        <row r="317">
          <cell r="J317" t="str">
            <v/>
          </cell>
        </row>
        <row r="318">
          <cell r="J318" t="str">
            <v/>
          </cell>
        </row>
        <row r="319">
          <cell r="J319" t="str">
            <v/>
          </cell>
        </row>
        <row r="320">
          <cell r="J320" t="str">
            <v/>
          </cell>
        </row>
        <row r="321">
          <cell r="J321" t="str">
            <v/>
          </cell>
        </row>
        <row r="322">
          <cell r="J322" t="str">
            <v/>
          </cell>
        </row>
        <row r="323">
          <cell r="J323" t="str">
            <v/>
          </cell>
        </row>
        <row r="324">
          <cell r="J324" t="str">
            <v/>
          </cell>
        </row>
        <row r="325">
          <cell r="J325" t="str">
            <v/>
          </cell>
        </row>
        <row r="326">
          <cell r="J326" t="str">
            <v/>
          </cell>
        </row>
        <row r="327">
          <cell r="J327" t="str">
            <v/>
          </cell>
        </row>
        <row r="328">
          <cell r="J328" t="str">
            <v/>
          </cell>
        </row>
        <row r="329">
          <cell r="J329" t="str">
            <v/>
          </cell>
        </row>
        <row r="330">
          <cell r="J330" t="str">
            <v/>
          </cell>
        </row>
        <row r="331">
          <cell r="J331" t="str">
            <v/>
          </cell>
        </row>
        <row r="332">
          <cell r="J332" t="str">
            <v/>
          </cell>
        </row>
        <row r="333">
          <cell r="J333" t="str">
            <v/>
          </cell>
        </row>
        <row r="334">
          <cell r="J334" t="str">
            <v/>
          </cell>
        </row>
        <row r="335">
          <cell r="J335" t="str">
            <v/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8">
          <cell r="A8" t="str">
            <v>0001</v>
          </cell>
          <cell r="B8" t="str">
            <v>JE#  0001  Def Hist - AFUDC - Equity CWIP (AFUDC 2) - a/c 185035</v>
          </cell>
          <cell r="C8" t="str">
            <v>JE  0001  Def Hist - AFUDC - Equity CWIP (AFUDC 2) - a/c 185035</v>
          </cell>
          <cell r="D8" t="str">
            <v>JE# 0001  Def Hist - AFUDC - Equity CWIP (AFUDC 2) - a/c 185035</v>
          </cell>
          <cell r="E8">
            <v>185035</v>
          </cell>
          <cell r="F8" t="str">
            <v>L4</v>
          </cell>
          <cell r="G8" t="str">
            <v>NC</v>
          </cell>
          <cell r="H8" t="str">
            <v>JE#  0001  Def Hist - AFUDC - Equity CWIP (AFUDC 2) - a/c 185035</v>
          </cell>
        </row>
        <row r="9">
          <cell r="A9" t="str">
            <v>0002</v>
          </cell>
          <cell r="B9" t="str">
            <v>JE#  0002  Oth Def Adj - a/c 185040 - Reg Asset Pl Flow-Thru</v>
          </cell>
          <cell r="C9" t="str">
            <v>JE  0002  Oth Def Adj - a/c 185040 - Reg Asset Pl Flow-Thru</v>
          </cell>
          <cell r="D9" t="str">
            <v>JE# 0002  Oth Def Adj - a/c 185040 - Reg Asset Pl Flow-Thru</v>
          </cell>
          <cell r="E9">
            <v>185040</v>
          </cell>
          <cell r="F9" t="str">
            <v>L4</v>
          </cell>
          <cell r="G9" t="str">
            <v>NC</v>
          </cell>
          <cell r="H9" t="str">
            <v>JE#  0002  Oth Def Adj - a/c 185040 - Reg Asset Pl Flow-Thru</v>
          </cell>
        </row>
        <row r="10">
          <cell r="A10" t="str">
            <v>0003</v>
          </cell>
          <cell r="B10" t="str">
            <v>JE#  0003  Oth Def Adj -  a/c 185045 - Reg Asset Other</v>
          </cell>
          <cell r="C10" t="str">
            <v>JE  0003  Oth Def Adj -  a/c 185045 - Reg Asset Other</v>
          </cell>
          <cell r="D10" t="str">
            <v>JE# 0003  Oth Def Adj -  a/c 185045 - Reg Asset Other</v>
          </cell>
          <cell r="E10">
            <v>185045</v>
          </cell>
          <cell r="F10" t="str">
            <v>L4</v>
          </cell>
          <cell r="G10" t="str">
            <v>NC</v>
          </cell>
          <cell r="H10" t="str">
            <v>JE#  0003  Oth Def Adj -  a/c 185045 - Reg Asset Other</v>
          </cell>
        </row>
        <row r="11">
          <cell r="A11" t="str">
            <v>0004</v>
          </cell>
          <cell r="B11" t="str">
            <v>JE#  0004  Oth Def Adj  - a/c 185050 - Reg Asset St Flow-Thru</v>
          </cell>
          <cell r="C11" t="str">
            <v>JE  0004  Oth Def Adj  - a/c 185050 - Reg Asset St Flow-Thru</v>
          </cell>
          <cell r="D11" t="str">
            <v>JE# 0004  Oth Def Adj  - a/c 185050 - Reg Asset St Flow-Thru</v>
          </cell>
          <cell r="E11">
            <v>185050</v>
          </cell>
          <cell r="F11" t="str">
            <v>L4</v>
          </cell>
          <cell r="G11" t="str">
            <v>NC</v>
          </cell>
          <cell r="H11" t="str">
            <v>JE#  0004  Oth Def Adj  - a/c 185050 - Reg Asset St Flow-Thru</v>
          </cell>
        </row>
        <row r="12">
          <cell r="A12" t="str">
            <v>0005</v>
          </cell>
          <cell r="B12" t="str">
            <v>JE#  0005  Oth Def Adj -  a/c 185051 - Reg Asset-St Tax Ch</v>
          </cell>
          <cell r="C12" t="str">
            <v>JE  0005  Oth Def Adj -  a/c 185051 - Reg Asset-St Tax Ch</v>
          </cell>
          <cell r="D12" t="str">
            <v>JE# 0005  Oth Def Adj -  a/c 185051 - Reg Asset-St Tax Ch</v>
          </cell>
          <cell r="E12">
            <v>185051</v>
          </cell>
          <cell r="F12" t="str">
            <v>L4</v>
          </cell>
          <cell r="G12" t="str">
            <v>NC</v>
          </cell>
          <cell r="H12" t="str">
            <v>JE#  0005  Oth Def Adj -  a/c 185051 - Reg Asset-St Tax Ch</v>
          </cell>
        </row>
        <row r="13">
          <cell r="A13" t="str">
            <v>0006</v>
          </cell>
          <cell r="B13" t="str">
            <v>JE#  0006  Oth Def Adj - a/c 255000 - Unamortized ITC</v>
          </cell>
          <cell r="C13" t="str">
            <v>JE  0006  Oth Def Adj - a/c 255000 - Unamortized ITC</v>
          </cell>
          <cell r="D13" t="str">
            <v>JE# 0006  Oth Def Adj - a/c 255000 - Unamortized ITC</v>
          </cell>
          <cell r="E13">
            <v>255000</v>
          </cell>
          <cell r="F13" t="str">
            <v>A2</v>
          </cell>
          <cell r="G13" t="str">
            <v>NC</v>
          </cell>
          <cell r="H13" t="str">
            <v>JE#  0006  Oth Def Adj - a/c 255000 - Unamortized ITC</v>
          </cell>
        </row>
        <row r="14">
          <cell r="A14" t="str">
            <v>0007</v>
          </cell>
          <cell r="B14" t="str">
            <v>JE#  0007  Oth Def Adj - a/c 255105 - SIT Unamortized ITC</v>
          </cell>
          <cell r="C14" t="str">
            <v>JE  0007  Oth Def Adj - a/c 255105 - SIT Unamortized ITC</v>
          </cell>
          <cell r="D14" t="str">
            <v>JE# 0007  Oth Def Adj - a/c 255105 - SIT Unamortized ITC</v>
          </cell>
          <cell r="E14">
            <v>255105</v>
          </cell>
          <cell r="F14" t="str">
            <v>A2</v>
          </cell>
          <cell r="G14" t="str">
            <v>NC</v>
          </cell>
          <cell r="H14" t="str">
            <v>JE#  0007  Oth Def Adj - a/c 255105 - SIT Unamortized ITC</v>
          </cell>
        </row>
        <row r="15">
          <cell r="A15" t="str">
            <v>0008</v>
          </cell>
          <cell r="B15" t="str">
            <v>JE#  0008  Oth Def Adj - a/c 256210 - Reg Liab AFUDC</v>
          </cell>
          <cell r="C15" t="str">
            <v>JE  0008  Oth Def Adj - a/c 256210 - Reg Liab AFUDC</v>
          </cell>
          <cell r="D15" t="str">
            <v>JE# 0008  Oth Def Adj - a/c 256210 - Reg Liab AFUDC</v>
          </cell>
          <cell r="E15">
            <v>256210</v>
          </cell>
          <cell r="F15" t="str">
            <v>L4</v>
          </cell>
          <cell r="G15" t="str">
            <v>NC</v>
          </cell>
          <cell r="H15" t="str">
            <v>JE#  0008  Oth Def Adj - a/c 256210 - Reg Liab AFUDC</v>
          </cell>
        </row>
        <row r="16">
          <cell r="A16" t="str">
            <v>0009</v>
          </cell>
          <cell r="B16" t="str">
            <v>JE#  0009  Oth Def Adj - a/c 256220 - Reg Liab Deficit Def FIT</v>
          </cell>
          <cell r="C16" t="str">
            <v>JE  0009  Oth Def Adj - a/c 256220 - Reg Liab Deficit Def FIT</v>
          </cell>
          <cell r="D16" t="str">
            <v>JE# 0009  Oth Def Adj - a/c 256220 - Reg Liab Deficit Def FIT</v>
          </cell>
          <cell r="E16">
            <v>256220</v>
          </cell>
          <cell r="F16" t="str">
            <v>L4</v>
          </cell>
          <cell r="G16" t="str">
            <v>NC</v>
          </cell>
          <cell r="H16" t="str">
            <v>JE#  0009  Oth Def Adj - a/c 256220 - Reg Liab Deficit Def FIT</v>
          </cell>
        </row>
        <row r="17">
          <cell r="A17" t="str">
            <v>0010</v>
          </cell>
          <cell r="B17" t="str">
            <v>JE#  0010  Oth Def Adj - a/c 256230 - Reg Liab Excess Def SIT</v>
          </cell>
          <cell r="C17" t="str">
            <v>JE  0010  Oth Def Adj - a/c 256230 - Reg Liab Excess Def SIT</v>
          </cell>
          <cell r="D17" t="str">
            <v>JE# 0010  Oth Def Adj - a/c 256230 - Reg Liab Excess Def SIT</v>
          </cell>
          <cell r="E17">
            <v>256230</v>
          </cell>
          <cell r="F17" t="str">
            <v>L4</v>
          </cell>
          <cell r="G17" t="str">
            <v>NC</v>
          </cell>
          <cell r="H17" t="str">
            <v>JE#  0010  Oth Def Adj - a/c 256230 - Reg Liab Excess Def SIT</v>
          </cell>
        </row>
        <row r="18">
          <cell r="A18" t="str">
            <v>0011</v>
          </cell>
          <cell r="B18" t="str">
            <v>JE#  0011  Oth Def Adj - a/c 256240 - Reg Liability-Other</v>
          </cell>
          <cell r="C18" t="str">
            <v>JE  0011  Oth Def Adj - a/c 256240 - Reg Liability-Other</v>
          </cell>
          <cell r="D18" t="str">
            <v>JE# 0011  Oth Def Adj - a/c 256240 - Reg Liability-Other</v>
          </cell>
          <cell r="E18">
            <v>256240</v>
          </cell>
          <cell r="F18" t="str">
            <v>L4</v>
          </cell>
          <cell r="G18" t="str">
            <v>NC</v>
          </cell>
          <cell r="H18" t="str">
            <v>JE#  0011  Oth Def Adj - a/c 256240 - Reg Liability-Other</v>
          </cell>
        </row>
        <row r="19">
          <cell r="A19" t="str">
            <v>0012</v>
          </cell>
          <cell r="B19" t="str">
            <v>JE#  0012  Oth Def Adj - a/c 256310 - Reg Liab ITC Gross-up</v>
          </cell>
          <cell r="C19" t="str">
            <v>JE  0012  Oth Def Adj - a/c 256310 - Reg Liab ITC Gross-up</v>
          </cell>
          <cell r="D19" t="str">
            <v>JE# 0012  Oth Def Adj - a/c 256310 - Reg Liab ITC Gross-up</v>
          </cell>
          <cell r="E19">
            <v>256310</v>
          </cell>
          <cell r="F19" t="str">
            <v>L4</v>
          </cell>
          <cell r="G19" t="str">
            <v>NC</v>
          </cell>
          <cell r="H19" t="str">
            <v>JE#  0012  Oth Def Adj - a/c 256310 - Reg Liab ITC Gross-up</v>
          </cell>
        </row>
        <row r="20">
          <cell r="A20" t="str">
            <v>0013</v>
          </cell>
          <cell r="B20" t="str">
            <v>JE#  0013  Oth Def Adj - a/c 256315 - Reg Liab State ITC Gr-up</v>
          </cell>
          <cell r="C20" t="str">
            <v>JE  0013  Oth Def Adj - a/c 256315 - Reg Liab State ITC Gr-up</v>
          </cell>
          <cell r="D20" t="str">
            <v>JE# 0013  Oth Def Adj - a/c 256315 - Reg Liab State ITC Gr-up</v>
          </cell>
          <cell r="E20">
            <v>256315</v>
          </cell>
          <cell r="F20" t="str">
            <v>L4</v>
          </cell>
          <cell r="G20" t="str">
            <v>NC</v>
          </cell>
          <cell r="H20" t="str">
            <v>JE#  0013  Oth Def Adj - a/c 256315 - Reg Liab State ITC Gr-up</v>
          </cell>
        </row>
        <row r="21">
          <cell r="A21" t="str">
            <v>0014</v>
          </cell>
          <cell r="B21" t="str">
            <v>JE#  0014  Net Operating Loss - Federal</v>
          </cell>
          <cell r="C21" t="str">
            <v>JE  0014  Net Operating Loss - Federal</v>
          </cell>
          <cell r="D21" t="str">
            <v>JE# 0014  Net Operating Loss - Federal</v>
          </cell>
          <cell r="E21">
            <v>900300</v>
          </cell>
          <cell r="F21" t="str">
            <v>A4</v>
          </cell>
          <cell r="G21" t="str">
            <v>NC</v>
          </cell>
          <cell r="H21" t="str">
            <v>JE#  0014  Net Operating Loss - Federal</v>
          </cell>
        </row>
        <row r="22">
          <cell r="A22" t="str">
            <v>0015</v>
          </cell>
          <cell r="B22" t="str">
            <v>JE#  0015  Record NJ AMA Deductible Tax for FIT purposes</v>
          </cell>
          <cell r="C22" t="str">
            <v>JE  0015  Record NJ AMA Deductible Tax for FIT purposes</v>
          </cell>
          <cell r="D22" t="str">
            <v>JE# 0015  Record NJ AMA Deductible Tax for FIT purposes</v>
          </cell>
          <cell r="G22" t="str">
            <v>NC</v>
          </cell>
          <cell r="H22" t="str">
            <v>JE#  0015  Record NJ AMA Deductible Tax for FIT purposes</v>
          </cell>
        </row>
        <row r="23">
          <cell r="A23" t="str">
            <v>A001</v>
          </cell>
          <cell r="B23" t="str">
            <v>JE#  A001  Current Year Income</v>
          </cell>
          <cell r="C23" t="str">
            <v>JE  A001  Current Year Income</v>
          </cell>
          <cell r="D23" t="str">
            <v>JE# A001  Current Year Income</v>
          </cell>
          <cell r="E23">
            <v>210240</v>
          </cell>
          <cell r="G23" t="str">
            <v>NC</v>
          </cell>
          <cell r="H23" t="str">
            <v>JE#  A001  Current Year Income</v>
          </cell>
        </row>
        <row r="24">
          <cell r="A24" t="str">
            <v>A002</v>
          </cell>
          <cell r="B24" t="str">
            <v>JE#  A002  Rounding</v>
          </cell>
          <cell r="C24" t="str">
            <v>JE  A002  Rounding</v>
          </cell>
          <cell r="D24" t="str">
            <v>JE# A002  Rounding</v>
          </cell>
          <cell r="E24">
            <v>131100</v>
          </cell>
          <cell r="G24" t="str">
            <v>NC</v>
          </cell>
          <cell r="H24" t="str">
            <v>JE#  A002  Rounding</v>
          </cell>
        </row>
        <row r="25">
          <cell r="A25" t="str">
            <v>P001</v>
          </cell>
          <cell r="B25" t="str">
            <v>JE#  P001 Federal Income Tax (FIT 1)</v>
          </cell>
          <cell r="C25" t="str">
            <v>JE  P001  Federal Income Tax (FIT 1)</v>
          </cell>
          <cell r="D25" t="str">
            <v>JE# P001 Federal Income Tax (FIT 1)</v>
          </cell>
          <cell r="F25" t="str">
            <v>n/a</v>
          </cell>
          <cell r="G25" t="str">
            <v>NC</v>
          </cell>
          <cell r="H25" t="str">
            <v>JE#  P001  Federal Income Tax (FIT 1)</v>
          </cell>
        </row>
        <row r="26">
          <cell r="A26" t="str">
            <v>P002</v>
          </cell>
          <cell r="B26" t="str">
            <v>JE#  P002 Def FIT - Reg Asset/Liability (FIT 2)</v>
          </cell>
          <cell r="C26" t="str">
            <v>JE  P002  Def FIT - Reg Asset/Liability (FIT 2)</v>
          </cell>
          <cell r="D26" t="str">
            <v>JE# P002 Def FIT - Reg Asset/Liability (FIT 2)</v>
          </cell>
          <cell r="F26" t="str">
            <v>n/a</v>
          </cell>
          <cell r="G26" t="str">
            <v>NC</v>
          </cell>
          <cell r="H26" t="str">
            <v>JE#  P002  Def FIT - Reg Asset/Liability (FIT 2)</v>
          </cell>
        </row>
        <row r="27">
          <cell r="A27" t="str">
            <v>P003</v>
          </cell>
          <cell r="B27" t="str">
            <v>JE#  P003 Unamortized ITC (FIT 3)</v>
          </cell>
          <cell r="C27" t="str">
            <v>JE  P003  Unamortized ITC (FIT 3)</v>
          </cell>
          <cell r="D27" t="str">
            <v>JE# P003 Unamortized ITC (FIT 3)</v>
          </cell>
          <cell r="F27" t="str">
            <v>n/a</v>
          </cell>
          <cell r="G27" t="str">
            <v>NC</v>
          </cell>
          <cell r="H27" t="str">
            <v>JE#  P003  Unamortized ITC (FIT 3)</v>
          </cell>
        </row>
        <row r="28">
          <cell r="A28" t="str">
            <v>P004</v>
          </cell>
          <cell r="B28" t="str">
            <v>JE#  P004 Preferred Dividends of Subs. and Minority Interest</v>
          </cell>
          <cell r="C28" t="str">
            <v>JE  P004  Preferred Dividends of Subs. and Minority Interest</v>
          </cell>
          <cell r="D28" t="str">
            <v>JE# P004 Preferred Dividends of Subs. and Minority Interest</v>
          </cell>
          <cell r="F28" t="str">
            <v>n/a</v>
          </cell>
          <cell r="G28" t="str">
            <v>NC</v>
          </cell>
          <cell r="H28" t="str">
            <v>JE#  P004  Preferred Dividends of Subs. and Minority Interest</v>
          </cell>
        </row>
        <row r="29">
          <cell r="A29" t="str">
            <v>P005</v>
          </cell>
          <cell r="B29" t="str">
            <v>JE#  P005 Meals and Entertainment</v>
          </cell>
          <cell r="C29" t="str">
            <v>JE  P005  Meals and Entertainment</v>
          </cell>
          <cell r="D29" t="str">
            <v>JE# P005 Meals and Entertainment</v>
          </cell>
          <cell r="F29" t="str">
            <v>n/a</v>
          </cell>
          <cell r="G29" t="str">
            <v>NC</v>
          </cell>
          <cell r="H29" t="str">
            <v>JE#  P005  Meals and Entertainment</v>
          </cell>
        </row>
        <row r="30">
          <cell r="A30" t="str">
            <v>P010</v>
          </cell>
          <cell r="B30" t="str">
            <v>JE#  P010 Tax-exempt Interest Income</v>
          </cell>
          <cell r="C30" t="str">
            <v>JE  P010  Tax-exempt Interest Income</v>
          </cell>
          <cell r="D30" t="str">
            <v>JE# P010 Tax-exempt Interest Income</v>
          </cell>
          <cell r="F30" t="str">
            <v>n/a</v>
          </cell>
          <cell r="G30" t="str">
            <v>NC</v>
          </cell>
          <cell r="H30" t="str">
            <v>JE#  P010  Tax-exempt Interest Income</v>
          </cell>
        </row>
        <row r="31">
          <cell r="A31" t="str">
            <v>P015</v>
          </cell>
          <cell r="B31" t="str">
            <v>JE#  P015 Research and Development Expense</v>
          </cell>
          <cell r="C31" t="str">
            <v>JE  P015  Research and Development Expense</v>
          </cell>
          <cell r="D31" t="str">
            <v>JE# P015 Research and Development Expense</v>
          </cell>
          <cell r="F31" t="str">
            <v>n/a</v>
          </cell>
          <cell r="G31" t="str">
            <v>NC</v>
          </cell>
          <cell r="H31" t="str">
            <v>JE#  P015  Research and Development Expense</v>
          </cell>
        </row>
        <row r="32">
          <cell r="A32" t="str">
            <v>P020</v>
          </cell>
          <cell r="B32" t="str">
            <v>JE#  P020 Nondeductible Penalties</v>
          </cell>
          <cell r="C32" t="str">
            <v>JE  P020  Nondeductible Penalties</v>
          </cell>
          <cell r="D32" t="str">
            <v>JE# P020 Nondeductible Penalties</v>
          </cell>
          <cell r="F32" t="str">
            <v>n/a</v>
          </cell>
          <cell r="G32" t="str">
            <v>NC</v>
          </cell>
          <cell r="H32" t="str">
            <v>JE#  P020  Nondeductible Penalties</v>
          </cell>
        </row>
        <row r="33">
          <cell r="A33" t="str">
            <v>P025</v>
          </cell>
          <cell r="B33" t="str">
            <v>JE#  P025 Nondeductible Donations</v>
          </cell>
          <cell r="C33" t="str">
            <v>JE  P025  Nondeductible Donations</v>
          </cell>
          <cell r="D33" t="str">
            <v>JE# P025 Nondeductible Donations</v>
          </cell>
          <cell r="F33" t="str">
            <v>n/a</v>
          </cell>
          <cell r="G33" t="str">
            <v>NC</v>
          </cell>
          <cell r="H33" t="str">
            <v>JE#  P025  Nondeductible Donations</v>
          </cell>
        </row>
        <row r="34">
          <cell r="A34" t="str">
            <v>P030</v>
          </cell>
          <cell r="B34" t="str">
            <v>JE#  P030 Nondeductible Dues</v>
          </cell>
          <cell r="C34" t="str">
            <v>JE  P030  Nondeductible Dues</v>
          </cell>
          <cell r="D34" t="str">
            <v>JE# P030 Nondeductible Dues</v>
          </cell>
          <cell r="F34" t="str">
            <v>n/a</v>
          </cell>
          <cell r="G34" t="str">
            <v>NC</v>
          </cell>
          <cell r="H34" t="str">
            <v>JE#  P030  Nondeductible Dues</v>
          </cell>
        </row>
        <row r="35">
          <cell r="A35" t="str">
            <v>P035</v>
          </cell>
          <cell r="B35" t="str">
            <v>JE#  P035 Amortization of Preferred Stock Expense</v>
          </cell>
          <cell r="C35" t="str">
            <v>JE  P035  Amortization of Preferred Stock Expense</v>
          </cell>
          <cell r="D35" t="str">
            <v>JE# P035 Amortization of Preferred Stock Expense</v>
          </cell>
          <cell r="F35" t="str">
            <v>n/a</v>
          </cell>
          <cell r="G35" t="str">
            <v>NC</v>
          </cell>
          <cell r="H35" t="str">
            <v>JE#  P035  Amortization of Preferred Stock Expense</v>
          </cell>
        </row>
        <row r="36">
          <cell r="A36" t="str">
            <v>P040</v>
          </cell>
          <cell r="B36" t="str">
            <v>JE#  P040 Lobbying Expenses</v>
          </cell>
          <cell r="C36" t="str">
            <v>JE  P040  Lobbying Expenses</v>
          </cell>
          <cell r="D36" t="str">
            <v>JE# P040 Lobbying Expenses</v>
          </cell>
          <cell r="F36" t="str">
            <v>n/a</v>
          </cell>
          <cell r="G36" t="str">
            <v>NC</v>
          </cell>
          <cell r="H36" t="str">
            <v>JE#  P040  Lobbying Expenses</v>
          </cell>
        </row>
        <row r="37">
          <cell r="A37" t="str">
            <v>P045</v>
          </cell>
          <cell r="B37" t="str">
            <v>JE#  P045 Political Contributions</v>
          </cell>
          <cell r="C37" t="str">
            <v>JE  P045  Political Contributions</v>
          </cell>
          <cell r="D37" t="str">
            <v>JE# P045 Political Contributions</v>
          </cell>
          <cell r="F37" t="str">
            <v>n/a</v>
          </cell>
          <cell r="G37" t="str">
            <v>NC</v>
          </cell>
          <cell r="H37" t="str">
            <v>JE#  P045  Political Contributions</v>
          </cell>
        </row>
        <row r="38">
          <cell r="A38" t="str">
            <v>P050</v>
          </cell>
          <cell r="B38" t="str">
            <v>JE#  P050 Luxury Auto - Lease Limit</v>
          </cell>
          <cell r="C38" t="str">
            <v>JE  P050  Luxury Auto - Lease Limit</v>
          </cell>
          <cell r="D38" t="str">
            <v>JE# P050 Luxury Auto - Lease Limit</v>
          </cell>
          <cell r="F38" t="str">
            <v>n/a</v>
          </cell>
          <cell r="G38" t="str">
            <v>NC</v>
          </cell>
          <cell r="H38" t="str">
            <v>JE#  P050  Luxury Auto - Lease Limit</v>
          </cell>
        </row>
        <row r="39">
          <cell r="A39" t="str">
            <v>P055</v>
          </cell>
          <cell r="B39" t="str">
            <v>JE#  P055 Other Expenses</v>
          </cell>
          <cell r="C39" t="str">
            <v>JE  P055  Other Expenses</v>
          </cell>
          <cell r="D39" t="str">
            <v>JE# P055 Other Expenses</v>
          </cell>
          <cell r="F39" t="str">
            <v>n/a</v>
          </cell>
          <cell r="G39" t="str">
            <v>NC</v>
          </cell>
          <cell r="H39" t="str">
            <v>JE#  P055  Other Expenses</v>
          </cell>
        </row>
        <row r="40">
          <cell r="A40" t="str">
            <v>P060</v>
          </cell>
          <cell r="B40" t="str">
            <v>JE#  P060 Dividends Paid to ESOP</v>
          </cell>
          <cell r="C40" t="str">
            <v>JE  P060  Dividends Paid to ESOP</v>
          </cell>
          <cell r="D40" t="str">
            <v>JE# P060 Dividends Paid to ESOP</v>
          </cell>
          <cell r="F40" t="str">
            <v>n/a</v>
          </cell>
          <cell r="G40" t="str">
            <v>NC</v>
          </cell>
          <cell r="H40" t="str">
            <v>JE#  P060  Dividends Paid to ESOP</v>
          </cell>
        </row>
        <row r="41">
          <cell r="A41" t="str">
            <v>P065</v>
          </cell>
          <cell r="B41" t="str">
            <v>JE#  P065 Reclass of Flow thru Depreciation (Missouri only)</v>
          </cell>
          <cell r="C41" t="str">
            <v>JE  P065  Reclass of Flow thru Depreciation (Missouri only)</v>
          </cell>
          <cell r="D41" t="str">
            <v>JE# P065 Reclass of Flow thru Depreciation (Missouri only)</v>
          </cell>
          <cell r="F41" t="str">
            <v>n/a</v>
          </cell>
          <cell r="G41" t="str">
            <v>NC</v>
          </cell>
          <cell r="H41" t="str">
            <v>JE#  P065  Reclass of Flow thru Depreciation (Missouri only)</v>
          </cell>
        </row>
        <row r="42">
          <cell r="A42" t="str">
            <v>P070</v>
          </cell>
          <cell r="B42" t="str">
            <v>JE#  P070 Interest Expense-Repurchase (TWUS only)</v>
          </cell>
          <cell r="C42" t="str">
            <v>JE  P070  Interest Expense-Repurchase (TWUS only)</v>
          </cell>
          <cell r="D42" t="str">
            <v>JE# P070 Interest Expense-Repurchase (TWUS only)</v>
          </cell>
          <cell r="F42" t="str">
            <v>n/a</v>
          </cell>
          <cell r="G42" t="str">
            <v>NC</v>
          </cell>
          <cell r="H42" t="str">
            <v>JE#  P070  Interest Expense-Repurchase (TWUS only)</v>
          </cell>
        </row>
        <row r="43">
          <cell r="A43" t="str">
            <v>P071</v>
          </cell>
          <cell r="B43" t="str">
            <v>JE#  P071 Deemed Dividend-TWUS only</v>
          </cell>
          <cell r="C43" t="str">
            <v>JE  P071  Deemed Dividend-TWUS only</v>
          </cell>
          <cell r="D43" t="str">
            <v>JE# P071 Deemed Dividend-TWUS only</v>
          </cell>
          <cell r="F43" t="str">
            <v>n/a</v>
          </cell>
          <cell r="G43" t="str">
            <v>NC</v>
          </cell>
          <cell r="H43" t="str">
            <v>JE#  P071  Deemed Dividend-TWUS only</v>
          </cell>
        </row>
        <row r="44">
          <cell r="A44" t="str">
            <v>T005</v>
          </cell>
          <cell r="B44" t="str">
            <v>JE#  T005 Uncollectible Accounts</v>
          </cell>
          <cell r="C44" t="str">
            <v>JE  T005  Uncollectible Accounts</v>
          </cell>
          <cell r="D44" t="str">
            <v>JE# T005 Uncollectible Accounts</v>
          </cell>
          <cell r="E44">
            <v>143000</v>
          </cell>
          <cell r="F44" t="str">
            <v>A7</v>
          </cell>
          <cell r="G44" t="str">
            <v>C</v>
          </cell>
          <cell r="H44" t="str">
            <v>JE#  T005  Uncollectible Accounts</v>
          </cell>
        </row>
        <row r="45">
          <cell r="A45" t="str">
            <v>T010</v>
          </cell>
          <cell r="B45" t="str">
            <v>JE#  T010 Vacation Pay</v>
          </cell>
          <cell r="C45" t="str">
            <v>JE  T010  Vacation Pay</v>
          </cell>
          <cell r="D45" t="str">
            <v>JE# T010 Vacation Pay</v>
          </cell>
          <cell r="E45">
            <v>174100</v>
          </cell>
          <cell r="F45" t="str">
            <v>L5</v>
          </cell>
          <cell r="G45" t="str">
            <v>C</v>
          </cell>
          <cell r="H45" t="str">
            <v>JE#  T010  Vacation Pay</v>
          </cell>
        </row>
        <row r="46">
          <cell r="A46" t="str">
            <v>T015</v>
          </cell>
          <cell r="B46" t="str">
            <v>JE#  T015 Customer Deposits</v>
          </cell>
          <cell r="C46" t="str">
            <v>JE  T015  Customer Deposits</v>
          </cell>
          <cell r="D46" t="str">
            <v>JE# T015 Customer Deposits</v>
          </cell>
          <cell r="E46">
            <v>238010</v>
          </cell>
          <cell r="F46" t="str">
            <v>A7</v>
          </cell>
          <cell r="G46" t="str">
            <v>C</v>
          </cell>
          <cell r="H46" t="str">
            <v>JE#  T015  Customer Deposits</v>
          </cell>
        </row>
        <row r="47">
          <cell r="A47" t="str">
            <v>T020</v>
          </cell>
          <cell r="B47" t="str">
            <v>JE#  T020 Taxable Contributions (CIAC 1)</v>
          </cell>
          <cell r="C47" t="str">
            <v>JE  T020  Taxable Contributions (CIAC 1)</v>
          </cell>
          <cell r="D47" t="str">
            <v>JE# T020 Taxable Contributions (CIAC 1)</v>
          </cell>
          <cell r="E47">
            <v>271200</v>
          </cell>
          <cell r="F47" t="str">
            <v>A1</v>
          </cell>
          <cell r="G47" t="str">
            <v>NC</v>
          </cell>
          <cell r="H47" t="str">
            <v>JE#  T020  Taxable Contributions (CIAC 1)</v>
          </cell>
        </row>
        <row r="48">
          <cell r="A48" t="str">
            <v>T021</v>
          </cell>
          <cell r="B48" t="str">
            <v>JE#  T021 Deferred Revenue - CIAC (CIAC 2)</v>
          </cell>
          <cell r="C48" t="str">
            <v>JE  T021  Deferred Revenue - CIAC (CIAC 2)</v>
          </cell>
          <cell r="D48" t="str">
            <v>JE# T021 Deferred Revenue - CIAC (CIAC 2)</v>
          </cell>
          <cell r="E48">
            <v>262400</v>
          </cell>
          <cell r="F48" t="str">
            <v>A1</v>
          </cell>
          <cell r="G48" t="str">
            <v>NC</v>
          </cell>
          <cell r="H48" t="str">
            <v>JE#  T021  Deferred Revenue - CIAC (CIAC 2)</v>
          </cell>
        </row>
        <row r="49">
          <cell r="A49" t="str">
            <v>T025</v>
          </cell>
          <cell r="B49" t="str">
            <v>JE#  T025 Taxable Advances (CAC 1)</v>
          </cell>
          <cell r="C49" t="str">
            <v>JE  T025  Taxable Advances (CAC 1)</v>
          </cell>
          <cell r="D49" t="str">
            <v>JE# T025 Taxable Advances (CAC 1)</v>
          </cell>
          <cell r="E49">
            <v>252200</v>
          </cell>
          <cell r="F49" t="str">
            <v>A1</v>
          </cell>
          <cell r="G49" t="str">
            <v>NC</v>
          </cell>
          <cell r="H49" t="str">
            <v>JE#  T025  Taxable Advances (CAC 1)</v>
          </cell>
        </row>
        <row r="50">
          <cell r="A50" t="str">
            <v>T026</v>
          </cell>
          <cell r="B50" t="str">
            <v>JE#  T026 Deferred Revenue - AIC (CAC 2)</v>
          </cell>
          <cell r="C50" t="str">
            <v>JE  T026  Deferred Revenue - AIC (CAC 2)</v>
          </cell>
          <cell r="D50" t="str">
            <v>JE# T026 Deferred Revenue - AIC (CAC 2)</v>
          </cell>
          <cell r="E50">
            <v>262420</v>
          </cell>
          <cell r="F50" t="str">
            <v>A1</v>
          </cell>
          <cell r="G50" t="str">
            <v>NC</v>
          </cell>
          <cell r="H50" t="str">
            <v>JE#  T026  Deferred Revenue - AIC (CAC 2)</v>
          </cell>
        </row>
        <row r="51">
          <cell r="A51" t="str">
            <v>T030</v>
          </cell>
          <cell r="B51" t="str">
            <v>JE#  T030 Merger Expense</v>
          </cell>
          <cell r="C51" t="str">
            <v>JE  T030  Merger Expense</v>
          </cell>
          <cell r="D51" t="str">
            <v>JE# T030 Merger Expense</v>
          </cell>
          <cell r="E51">
            <v>186410</v>
          </cell>
          <cell r="F51" t="str">
            <v>A7</v>
          </cell>
          <cell r="G51" t="str">
            <v>NC</v>
          </cell>
          <cell r="H51" t="str">
            <v>JE#  T030  Merger Expense</v>
          </cell>
        </row>
        <row r="52">
          <cell r="A52" t="str">
            <v>T040</v>
          </cell>
          <cell r="B52" t="str">
            <v>JE#  T040 Rate Case Expense</v>
          </cell>
          <cell r="C52" t="str">
            <v>JE  T040  Rate Case Expense</v>
          </cell>
          <cell r="D52" t="str">
            <v>JE# T040 Rate Case Expense</v>
          </cell>
          <cell r="E52">
            <v>182000</v>
          </cell>
          <cell r="F52" t="str">
            <v>L5</v>
          </cell>
          <cell r="G52" t="str">
            <v>NC</v>
          </cell>
          <cell r="H52" t="str">
            <v>JE#  T040  Rate Case Expense</v>
          </cell>
        </row>
        <row r="53">
          <cell r="A53" t="str">
            <v>T045</v>
          </cell>
          <cell r="B53" t="str">
            <v>JE#  T045 Depreciation and Amortization (Depr 1)</v>
          </cell>
          <cell r="C53" t="str">
            <v>JE  T045  Depreciation and Amortization (Depr 1)</v>
          </cell>
          <cell r="D53" t="str">
            <v>JE# T045 Depreciation and Amortization (Depr 1)</v>
          </cell>
          <cell r="E53">
            <v>108000</v>
          </cell>
          <cell r="F53" t="str">
            <v>L1</v>
          </cell>
          <cell r="G53" t="str">
            <v>NC</v>
          </cell>
          <cell r="H53" t="str">
            <v>JE#  T045  Depreciation and Amortization (Depr 1)</v>
          </cell>
        </row>
        <row r="54">
          <cell r="A54" t="str">
            <v>T046</v>
          </cell>
          <cell r="B54" t="str">
            <v>JE#  T046 Post In-Service Depreciation Expense (Depr 2)</v>
          </cell>
          <cell r="C54" t="str">
            <v>JE  T046  Post In-Service Depreciation Expense (Depr 2)</v>
          </cell>
          <cell r="D54" t="str">
            <v>JE# T046 Post In-Service Depreciation Expense (Depr 2)</v>
          </cell>
          <cell r="E54">
            <v>186435</v>
          </cell>
          <cell r="F54" t="str">
            <v>L1</v>
          </cell>
          <cell r="G54" t="str">
            <v>NC</v>
          </cell>
          <cell r="H54" t="str">
            <v>JE#  T046  Post In-Service Depreciation Expense (Depr 2)</v>
          </cell>
        </row>
        <row r="55">
          <cell r="A55" t="str">
            <v>T047</v>
          </cell>
          <cell r="B55" t="str">
            <v>JE#  T047  Reg Asset - AFUDC Debt in Plant (Depr 3)</v>
          </cell>
          <cell r="C55" t="str">
            <v>JE  T047  Reg Asset - AFUDC Debt in Plant (Depr 3)</v>
          </cell>
          <cell r="D55" t="str">
            <v>JE# T047  Reg Asset - AFUDC Debt in Plant (Depr 3)</v>
          </cell>
          <cell r="E55">
            <v>101100</v>
          </cell>
          <cell r="F55" t="str">
            <v>L1</v>
          </cell>
          <cell r="G55" t="str">
            <v>NC</v>
          </cell>
          <cell r="H55" t="str">
            <v>JE#  T047  Reg Asset - AFUDC Debt in Plant (Depr 3)</v>
          </cell>
        </row>
        <row r="56">
          <cell r="A56" t="str">
            <v>T048</v>
          </cell>
          <cell r="B56" t="str">
            <v>JE#  T048 Reg Asset - AFUDC Debt (Depr 4)</v>
          </cell>
          <cell r="C56" t="str">
            <v>JE  T048  Reg Asset - AFUDC Debt (Depr 4)</v>
          </cell>
          <cell r="D56" t="str">
            <v>JE# T048 Reg Asset - AFUDC Debt (Depr 4)</v>
          </cell>
          <cell r="E56">
            <v>108190</v>
          </cell>
          <cell r="F56" t="str">
            <v>L1</v>
          </cell>
          <cell r="G56" t="str">
            <v>NC</v>
          </cell>
          <cell r="H56" t="str">
            <v>JE#  T048  Reg Asset - AFUDC Debt (Depr 4)</v>
          </cell>
        </row>
        <row r="57">
          <cell r="A57" t="str">
            <v>T049</v>
          </cell>
          <cell r="B57" t="str">
            <v>JE#  T049 Goodwill Amortization</v>
          </cell>
          <cell r="C57" t="str">
            <v>JE  T049  Goodwill Amortization</v>
          </cell>
          <cell r="D57" t="str">
            <v>JE# T049 Goodwill Amortization</v>
          </cell>
          <cell r="E57">
            <v>108000</v>
          </cell>
          <cell r="F57" t="str">
            <v>L1</v>
          </cell>
          <cell r="G57" t="str">
            <v>NC</v>
          </cell>
          <cell r="H57" t="str">
            <v>JE#  T049  Goodwill Amortization</v>
          </cell>
        </row>
        <row r="58">
          <cell r="A58" t="str">
            <v>T050</v>
          </cell>
          <cell r="B58" t="str">
            <v>JE#  T050 Intangible Indefinite Life</v>
          </cell>
          <cell r="C58" t="str">
            <v>JE  T050  Intangible Indefinite Life</v>
          </cell>
          <cell r="D58" t="str">
            <v>JE# T050 Intangible Indefinite Life</v>
          </cell>
          <cell r="E58">
            <v>123131</v>
          </cell>
          <cell r="F58" t="str">
            <v>L1</v>
          </cell>
          <cell r="G58" t="str">
            <v>NC</v>
          </cell>
          <cell r="H58" t="str">
            <v>JE#  T050  Intangible Indefinite Life</v>
          </cell>
        </row>
        <row r="59">
          <cell r="A59" t="str">
            <v>T060</v>
          </cell>
          <cell r="B59" t="str">
            <v>JE#  T060 Gains and Losses (Disp 1)</v>
          </cell>
          <cell r="C59" t="str">
            <v>JE  T060  Gains and Losses (Disp 1)</v>
          </cell>
          <cell r="D59" t="str">
            <v>JE# T060 Gains and Losses (Disp 1)</v>
          </cell>
          <cell r="E59">
            <v>108000</v>
          </cell>
          <cell r="F59" t="str">
            <v>L1</v>
          </cell>
          <cell r="G59" t="str">
            <v>NC</v>
          </cell>
          <cell r="H59" t="str">
            <v>JE#  T060  Gains and Losses (Disp 1)</v>
          </cell>
        </row>
        <row r="60">
          <cell r="A60" t="str">
            <v>T061</v>
          </cell>
          <cell r="B60" t="str">
            <v>JE#  T061 Deferred Tax Gain (Disp 2)</v>
          </cell>
          <cell r="C60" t="str">
            <v>JE  T061  Deferred Tax Gain (Disp 2)</v>
          </cell>
          <cell r="D60" t="str">
            <v>JE# T061 Deferred Tax Gain (Disp 2)</v>
          </cell>
          <cell r="E60">
            <v>900100</v>
          </cell>
          <cell r="F60" t="str">
            <v>L1</v>
          </cell>
          <cell r="G60" t="str">
            <v>NC</v>
          </cell>
          <cell r="H60" t="str">
            <v>JE#  T061  Deferred Tax Gain (Disp 2)</v>
          </cell>
        </row>
        <row r="61">
          <cell r="A61" t="str">
            <v>T062</v>
          </cell>
          <cell r="B61" t="str">
            <v>JE#  T062 Abandonment Losses (Disp 3)</v>
          </cell>
          <cell r="C61" t="str">
            <v>JE  T062  Abandonment Losses (Disp 3)</v>
          </cell>
          <cell r="D61" t="str">
            <v>JE# T062 Abandonment Losses (Disp 3)</v>
          </cell>
          <cell r="E61">
            <v>108000</v>
          </cell>
          <cell r="F61" t="str">
            <v>L1</v>
          </cell>
          <cell r="G61" t="str">
            <v>NC</v>
          </cell>
          <cell r="H61" t="str">
            <v>JE#  T062  Abandonment Losses (Disp 3)</v>
          </cell>
        </row>
        <row r="62">
          <cell r="A62" t="str">
            <v>T063</v>
          </cell>
          <cell r="B62" t="str">
            <v>JE#  T063 Cost of Removal (Disp 4)</v>
          </cell>
          <cell r="C62" t="str">
            <v>JE  T063  Cost of Removal (Disp 4)</v>
          </cell>
          <cell r="D62" t="str">
            <v>JE# T063 Cost of Removal (Disp 4)</v>
          </cell>
          <cell r="E62">
            <v>108000</v>
          </cell>
          <cell r="F62" t="str">
            <v>L1</v>
          </cell>
          <cell r="G62" t="str">
            <v>NC</v>
          </cell>
          <cell r="H62" t="str">
            <v>JE#  T063  Cost of Removal (Disp 4)</v>
          </cell>
        </row>
        <row r="63">
          <cell r="A63" t="str">
            <v>T064</v>
          </cell>
          <cell r="B63" t="str">
            <v>JE#  T064 Amortization of Premature Property Losses (Disp 5)</v>
          </cell>
          <cell r="C63" t="str">
            <v>JE  T064  Amortization of Premature Property Losses (Disp 5)</v>
          </cell>
          <cell r="D63" t="str">
            <v>JE# T064 Amortization of Premature Property Losses (Disp 5)</v>
          </cell>
          <cell r="E63">
            <v>186100</v>
          </cell>
          <cell r="F63" t="str">
            <v>L5</v>
          </cell>
          <cell r="G63" t="str">
            <v>NC</v>
          </cell>
          <cell r="H63" t="str">
            <v>JE#  T064  Amortization of Premature Property Losses (Disp 5)</v>
          </cell>
        </row>
        <row r="64">
          <cell r="A64" t="str">
            <v>T070</v>
          </cell>
          <cell r="B64" t="str">
            <v>JE#  T070 Amortization of UPAA</v>
          </cell>
          <cell r="C64" t="str">
            <v>JE  T070  Amortization of UPAA</v>
          </cell>
          <cell r="D64" t="str">
            <v>JE# T070 Amortization of UPAA</v>
          </cell>
          <cell r="E64">
            <v>114000</v>
          </cell>
          <cell r="F64" t="str">
            <v>L1</v>
          </cell>
          <cell r="G64" t="str">
            <v>NC</v>
          </cell>
          <cell r="H64" t="str">
            <v>JE#  T070  Amortization of UPAA</v>
          </cell>
        </row>
        <row r="65">
          <cell r="A65" t="str">
            <v>T075</v>
          </cell>
          <cell r="B65" t="str">
            <v>JE#  T075  Depletion</v>
          </cell>
          <cell r="C65" t="str">
            <v>JE  T075  Depletion</v>
          </cell>
          <cell r="D65" t="str">
            <v>JE# T075  Depletion</v>
          </cell>
          <cell r="E65">
            <v>108400</v>
          </cell>
          <cell r="F65" t="str">
            <v>L1</v>
          </cell>
          <cell r="G65" t="str">
            <v>NC</v>
          </cell>
          <cell r="H65" t="str">
            <v>JE#  T075  Depletion</v>
          </cell>
        </row>
        <row r="66">
          <cell r="A66" t="str">
            <v>T080</v>
          </cell>
          <cell r="B66" t="str">
            <v>JE#  T080 Current Deferred SIT/LIT (SIT 1)</v>
          </cell>
          <cell r="C66" t="str">
            <v>JE  T080  Current Deferred SIT/LIT (SIT 1)</v>
          </cell>
          <cell r="D66" t="str">
            <v>JE# T080 Current Deferred SIT/LIT (SIT 1)</v>
          </cell>
          <cell r="E66">
            <v>236320</v>
          </cell>
          <cell r="F66" t="str">
            <v>L5</v>
          </cell>
          <cell r="G66" t="str">
            <v>NC</v>
          </cell>
          <cell r="H66" t="str">
            <v>JE#  T080  Current Deferred SIT/LIT (SIT 1)</v>
          </cell>
        </row>
        <row r="67">
          <cell r="A67" t="str">
            <v>T081</v>
          </cell>
          <cell r="B67" t="str">
            <v>JE#  T081 Noncurrent Deferred SIT/LIT (SIT 2)</v>
          </cell>
          <cell r="C67" t="str">
            <v>JE  T081  Noncurrent Deferred SIT/LIT (SIT 2)</v>
          </cell>
          <cell r="D67" t="str">
            <v>JE# T081 Noncurrent Deferred SIT/LIT (SIT 2)</v>
          </cell>
          <cell r="E67">
            <v>253220</v>
          </cell>
          <cell r="F67" t="str">
            <v>L5</v>
          </cell>
          <cell r="G67" t="str">
            <v>NC</v>
          </cell>
          <cell r="H67" t="str">
            <v>JE#  T081  Noncurrent Deferred SIT/LIT (SIT 2)</v>
          </cell>
        </row>
        <row r="68">
          <cell r="A68" t="str">
            <v>T082</v>
          </cell>
          <cell r="B68" t="str">
            <v>JE#  T082 SIT - Unamortized ITC (SIT 3)</v>
          </cell>
          <cell r="C68" t="str">
            <v>JE  T082  SIT - Unamortized ITC (SIT 3)</v>
          </cell>
          <cell r="D68" t="str">
            <v>JE# T082 SIT - Unamortized ITC (SIT 3)</v>
          </cell>
          <cell r="E68">
            <v>255105</v>
          </cell>
          <cell r="F68" t="str">
            <v>L5</v>
          </cell>
          <cell r="G68" t="str">
            <v>NC</v>
          </cell>
          <cell r="H68" t="str">
            <v>JE#  T082  SIT - Unamortized ITC (SIT 3)</v>
          </cell>
        </row>
        <row r="69">
          <cell r="A69" t="str">
            <v>T083</v>
          </cell>
          <cell r="B69" t="str">
            <v>JE#  T083 Deferred SIT - Reg Asset/Liability (SIT 4)</v>
          </cell>
          <cell r="C69" t="str">
            <v>JE  T083  Deferred SIT - Reg Asset/Liability (SIT 4)</v>
          </cell>
          <cell r="D69" t="str">
            <v>JE# T083 Deferred SIT - Reg Asset/Liability (SIT 4)</v>
          </cell>
          <cell r="E69">
            <v>210240</v>
          </cell>
          <cell r="F69" t="str">
            <v>L5</v>
          </cell>
          <cell r="G69" t="str">
            <v>NC</v>
          </cell>
          <cell r="H69" t="str">
            <v>JE#  T083  Deferred SIT - Reg Asset/Liability (SIT 4)</v>
          </cell>
        </row>
        <row r="70">
          <cell r="A70" t="str">
            <v>T085</v>
          </cell>
          <cell r="B70" t="str">
            <v>JE#  T085 Purchased Water - Inside (PWtr 1)</v>
          </cell>
          <cell r="C70" t="str">
            <v>JE  T085  Purchased Water - Inside (PWtr 1)</v>
          </cell>
          <cell r="D70" t="str">
            <v>JE# T085 Purchased Water - Inside (PWtr 1)</v>
          </cell>
          <cell r="E70">
            <v>186402</v>
          </cell>
          <cell r="F70" t="str">
            <v>L5</v>
          </cell>
          <cell r="G70" t="str">
            <v>NC</v>
          </cell>
          <cell r="H70" t="str">
            <v>JE#  T085  Purchased Water - Inside (PWtr 1)</v>
          </cell>
        </row>
        <row r="71">
          <cell r="A71" t="str">
            <v>T086</v>
          </cell>
          <cell r="B71" t="str">
            <v>JE#  T086 Purchased Water - Outside (PWtr 2)</v>
          </cell>
          <cell r="C71" t="str">
            <v>JE  T086  Purchased Water - Outside (PWtr 2)</v>
          </cell>
          <cell r="D71" t="str">
            <v>JE# T086 Purchased Water - Outside (PWtr 2)</v>
          </cell>
          <cell r="E71">
            <v>186412</v>
          </cell>
          <cell r="F71" t="str">
            <v>L5</v>
          </cell>
          <cell r="G71" t="str">
            <v>NC</v>
          </cell>
          <cell r="H71" t="str">
            <v>JE#  T086  Purchased Water - Outside (PWtr 2)</v>
          </cell>
        </row>
        <row r="72">
          <cell r="A72" t="str">
            <v>T090</v>
          </cell>
          <cell r="B72" t="str">
            <v>JE#  T090 Depreciation Study</v>
          </cell>
          <cell r="C72" t="str">
            <v>JE  T090  Depreciation Study</v>
          </cell>
          <cell r="D72" t="str">
            <v>JE# T090 Depreciation Study</v>
          </cell>
          <cell r="E72">
            <v>186431</v>
          </cell>
          <cell r="F72" t="str">
            <v>L1</v>
          </cell>
          <cell r="G72" t="str">
            <v>NC</v>
          </cell>
          <cell r="H72" t="str">
            <v>JE#  T090  Depreciation Study</v>
          </cell>
        </row>
        <row r="73">
          <cell r="A73" t="str">
            <v>T095</v>
          </cell>
          <cell r="B73" t="str">
            <v>JE#  T095 Cost of Service Study</v>
          </cell>
          <cell r="C73" t="str">
            <v>JE  T095  Cost of Service Study</v>
          </cell>
          <cell r="D73" t="str">
            <v>JE# T095 Cost of Service Study</v>
          </cell>
          <cell r="E73">
            <v>186432</v>
          </cell>
          <cell r="F73" t="str">
            <v>L5</v>
          </cell>
          <cell r="G73" t="str">
            <v>NC</v>
          </cell>
          <cell r="H73" t="str">
            <v>JE#  T095  Cost of Service Study</v>
          </cell>
        </row>
        <row r="74">
          <cell r="A74" t="str">
            <v>T100</v>
          </cell>
          <cell r="B74" t="str">
            <v>JE#  T100 Amortization of Debt Discount</v>
          </cell>
          <cell r="C74" t="str">
            <v>JE  T100  Amortization of Debt Discount</v>
          </cell>
          <cell r="D74" t="str">
            <v>JE# T100 Amortization of Debt Discount</v>
          </cell>
          <cell r="E74">
            <v>181000</v>
          </cell>
          <cell r="F74" t="str">
            <v>L5</v>
          </cell>
          <cell r="G74" t="str">
            <v>NC</v>
          </cell>
          <cell r="H74" t="str">
            <v>JE#  T100  Amortization of Debt Discount</v>
          </cell>
        </row>
        <row r="75">
          <cell r="A75" t="str">
            <v>T105</v>
          </cell>
          <cell r="B75" t="str">
            <v>JE#  T105 Management Study</v>
          </cell>
          <cell r="C75" t="str">
            <v>JE  T105  Management Study</v>
          </cell>
          <cell r="D75" t="str">
            <v>JE# T105 Management Study</v>
          </cell>
          <cell r="E75">
            <v>186453</v>
          </cell>
          <cell r="F75" t="str">
            <v>L5</v>
          </cell>
          <cell r="G75" t="str">
            <v>NC</v>
          </cell>
          <cell r="H75" t="str">
            <v>JE#  T105  Management Study</v>
          </cell>
        </row>
        <row r="76">
          <cell r="A76" t="str">
            <v>T110</v>
          </cell>
          <cell r="B76" t="str">
            <v>JE#  T110 Waste Disposal</v>
          </cell>
          <cell r="C76" t="str">
            <v>JE  T110  Waste Disposal</v>
          </cell>
          <cell r="D76" t="str">
            <v>JE# T110 Waste Disposal</v>
          </cell>
          <cell r="E76">
            <v>186444</v>
          </cell>
          <cell r="F76" t="str">
            <v>L5</v>
          </cell>
          <cell r="G76" t="str">
            <v>NC</v>
          </cell>
          <cell r="H76" t="str">
            <v>JE#  T110  Waste Disposal</v>
          </cell>
        </row>
        <row r="77">
          <cell r="A77" t="str">
            <v>T115</v>
          </cell>
          <cell r="B77" t="str">
            <v>JE#  T115 Group Insurance</v>
          </cell>
          <cell r="C77" t="str">
            <v>JE  T115  Group Insurance</v>
          </cell>
          <cell r="D77" t="str">
            <v>JE# T115 Group Insurance</v>
          </cell>
          <cell r="E77">
            <v>241200</v>
          </cell>
          <cell r="F77" t="str">
            <v>L5</v>
          </cell>
          <cell r="G77" t="str">
            <v>NC</v>
          </cell>
          <cell r="H77" t="str">
            <v>JE#  T115  Group Insurance</v>
          </cell>
        </row>
        <row r="78">
          <cell r="A78" t="str">
            <v>T120</v>
          </cell>
          <cell r="B78" t="str">
            <v>JE#  T120 Incentive Plan (Incen 1)</v>
          </cell>
          <cell r="C78" t="str">
            <v>JE  T120  Incentive Plan (Incen 1)</v>
          </cell>
          <cell r="D78" t="str">
            <v>JE# T120 Incentive Plan (Incen 1)</v>
          </cell>
          <cell r="E78">
            <v>146200</v>
          </cell>
          <cell r="F78" t="str">
            <v>A7</v>
          </cell>
          <cell r="G78" t="str">
            <v>NC</v>
          </cell>
          <cell r="H78" t="str">
            <v>JE#  T120  Incentive Plan (Incen 1)</v>
          </cell>
        </row>
        <row r="79">
          <cell r="A79" t="str">
            <v>T121</v>
          </cell>
          <cell r="B79" t="str">
            <v>JE#  T121 Incentive Plan (Incen 2)</v>
          </cell>
          <cell r="C79" t="str">
            <v>JE  T121  Incentive Plan (Incen 2)</v>
          </cell>
          <cell r="D79" t="str">
            <v>JE# T121 Incentive Plan (Incen 2)</v>
          </cell>
          <cell r="E79">
            <v>146200</v>
          </cell>
          <cell r="F79" t="str">
            <v>A7</v>
          </cell>
          <cell r="G79" t="str">
            <v>NC</v>
          </cell>
          <cell r="H79" t="str">
            <v>JE#  T121  Incentive Plan (Incen 2)</v>
          </cell>
        </row>
        <row r="80">
          <cell r="A80" t="str">
            <v>T122</v>
          </cell>
          <cell r="B80" t="str">
            <v>JE#  T122 Incentive Plan (Incen 3)</v>
          </cell>
          <cell r="C80" t="str">
            <v>JE  T122  Incentive Plan (Incen 3)</v>
          </cell>
          <cell r="D80" t="str">
            <v>JE# T122 Incentive Plan (Incen 3)</v>
          </cell>
          <cell r="E80">
            <v>262317</v>
          </cell>
          <cell r="F80" t="str">
            <v>A7</v>
          </cell>
          <cell r="G80" t="str">
            <v>NC</v>
          </cell>
          <cell r="H80" t="str">
            <v>JE#  T122  Incentive Plan (Incen 3)</v>
          </cell>
        </row>
        <row r="81">
          <cell r="A81" t="str">
            <v>T123</v>
          </cell>
          <cell r="B81" t="str">
            <v>JE#  T123 Incentive Plan (Incen 4) - AWW Only</v>
          </cell>
          <cell r="C81" t="str">
            <v>JE  T123  Incentive Plan (Incen 4) - AWW Only</v>
          </cell>
          <cell r="D81" t="str">
            <v>JE# T123 Incentive Plan (Incen 4) - AWW Only</v>
          </cell>
          <cell r="E81">
            <v>205425</v>
          </cell>
          <cell r="F81" t="str">
            <v>A7</v>
          </cell>
          <cell r="G81" t="str">
            <v>NC</v>
          </cell>
          <cell r="H81" t="str">
            <v>JE#  T123  Incentive Plan (Incen 4) - AWW Only</v>
          </cell>
        </row>
        <row r="82">
          <cell r="A82" t="str">
            <v>T124</v>
          </cell>
          <cell r="B82" t="str">
            <v>JE#  T124 Incentive Plan (Incent 5)</v>
          </cell>
          <cell r="C82" t="str">
            <v>JE  T124  Incentive Plan (Incent 5)</v>
          </cell>
          <cell r="D82" t="str">
            <v>JE# T124 Incentive Plan (Incent 5)</v>
          </cell>
          <cell r="E82">
            <v>262318</v>
          </cell>
          <cell r="F82" t="str">
            <v>A7</v>
          </cell>
          <cell r="G82" t="str">
            <v>NC</v>
          </cell>
          <cell r="H82" t="str">
            <v>JE#  T124  Incentive Plan (Incent 5)</v>
          </cell>
        </row>
        <row r="83">
          <cell r="A83" t="str">
            <v>T130</v>
          </cell>
          <cell r="B83" t="str">
            <v>JE#  T130 Regulatory Pension (Pension 1)</v>
          </cell>
          <cell r="C83" t="str">
            <v>JE  T130  Regulatory Pension (Pension 1)</v>
          </cell>
          <cell r="D83" t="str">
            <v>JE# T130 Regulatory Pension (Pension 1)</v>
          </cell>
          <cell r="E83">
            <v>186422</v>
          </cell>
          <cell r="F83" t="str">
            <v>A5</v>
          </cell>
          <cell r="G83" t="str">
            <v>NC</v>
          </cell>
          <cell r="H83" t="str">
            <v>JE#  T130  Regulatory Pension (Pension 1)</v>
          </cell>
        </row>
        <row r="84">
          <cell r="A84" t="str">
            <v>T131</v>
          </cell>
          <cell r="B84" t="str">
            <v>JE#  T131 Regulatory Pension (Pension 2)</v>
          </cell>
          <cell r="C84" t="str">
            <v>JE  T131  Regulatory Pension (Pension 2)</v>
          </cell>
          <cell r="D84" t="str">
            <v>JE# T131 Regulatory Pension (Pension 2)</v>
          </cell>
          <cell r="E84">
            <v>262110</v>
          </cell>
          <cell r="F84" t="str">
            <v>A5</v>
          </cell>
          <cell r="G84" t="str">
            <v>NC</v>
          </cell>
          <cell r="H84" t="str">
            <v>JE#  T131  Regulatory Pension (Pension 2)</v>
          </cell>
        </row>
        <row r="85">
          <cell r="A85" t="str">
            <v>T132</v>
          </cell>
          <cell r="B85" t="str">
            <v>JE#  T132 Regulatory Pension (Pension 3)</v>
          </cell>
          <cell r="C85" t="str">
            <v>JE  T132  Regulatory Pension (Pension 3)</v>
          </cell>
          <cell r="D85" t="str">
            <v>JE# T132 Regulatory Pension (Pension 3)</v>
          </cell>
          <cell r="E85">
            <v>262111</v>
          </cell>
          <cell r="F85" t="str">
            <v>A5</v>
          </cell>
          <cell r="G85" t="str">
            <v>NC</v>
          </cell>
          <cell r="H85" t="str">
            <v>JE#  T132  Regulatory Pension (Pension 3)</v>
          </cell>
        </row>
        <row r="86">
          <cell r="A86" t="str">
            <v>T135</v>
          </cell>
          <cell r="B86" t="str">
            <v>JE#  T135 Supplemental Pension</v>
          </cell>
          <cell r="C86" t="str">
            <v>JE  T135  Supplemental Pension</v>
          </cell>
          <cell r="D86" t="str">
            <v>JE# T135 Supplemental Pension</v>
          </cell>
          <cell r="E86">
            <v>262140</v>
          </cell>
          <cell r="F86" t="str">
            <v>A5</v>
          </cell>
          <cell r="G86" t="str">
            <v>NC</v>
          </cell>
          <cell r="H86" t="str">
            <v>JE#  T135  Supplemental Pension</v>
          </cell>
        </row>
        <row r="87">
          <cell r="A87" t="str">
            <v>T140</v>
          </cell>
          <cell r="B87" t="str">
            <v>JE#  T140 Accrued OPEB (OPEB 1)</v>
          </cell>
          <cell r="C87" t="str">
            <v>JE  T140  Accrued OPEB (OPEB 1)</v>
          </cell>
          <cell r="D87" t="str">
            <v>JE# T140 Accrued OPEB (OPEB 1)</v>
          </cell>
          <cell r="E87">
            <v>186417</v>
          </cell>
          <cell r="F87" t="str">
            <v>A3</v>
          </cell>
          <cell r="G87" t="str">
            <v>NC</v>
          </cell>
          <cell r="H87" t="str">
            <v>JE#  T140  Accrued OPEB (OPEB 1)</v>
          </cell>
        </row>
        <row r="88">
          <cell r="A88" t="str">
            <v>T141</v>
          </cell>
          <cell r="B88" t="str">
            <v>JE#  T141 Accrued OPEB (OPEB 2)</v>
          </cell>
          <cell r="C88" t="str">
            <v>JE  T141  Accrued OPEB (OPEB 2)</v>
          </cell>
          <cell r="D88" t="str">
            <v>JE# T141 Accrued OPEB (OPEB 2)</v>
          </cell>
          <cell r="E88">
            <v>262210</v>
          </cell>
          <cell r="F88" t="str">
            <v>A3</v>
          </cell>
          <cell r="G88" t="str">
            <v>NC</v>
          </cell>
          <cell r="H88" t="str">
            <v>JE#  T141  Accrued OPEB (OPEB 2)</v>
          </cell>
        </row>
        <row r="89">
          <cell r="A89" t="str">
            <v>T142</v>
          </cell>
          <cell r="B89" t="str">
            <v>JE#  T142 Accrued OPEB (OPEB 3)</v>
          </cell>
          <cell r="C89" t="str">
            <v>JE  T142  Accrued OPEB (OPEB 3)</v>
          </cell>
          <cell r="D89" t="str">
            <v>JE# T142 Accrued OPEB (OPEB 3)</v>
          </cell>
          <cell r="E89">
            <v>262210</v>
          </cell>
          <cell r="F89" t="str">
            <v>A3</v>
          </cell>
          <cell r="G89" t="str">
            <v>NC</v>
          </cell>
          <cell r="H89" t="str">
            <v>JE#  T142  Accrued OPEB (OPEB 3)</v>
          </cell>
        </row>
        <row r="90">
          <cell r="A90" t="str">
            <v>T145</v>
          </cell>
          <cell r="B90" t="str">
            <v>JE#  T145 AFUDC (AFUDC 1)</v>
          </cell>
          <cell r="C90" t="str">
            <v>JE  T145  AFUDC (AFUDC 1)</v>
          </cell>
          <cell r="D90" t="str">
            <v>JE# T145 AFUDC (AFUDC 1)</v>
          </cell>
          <cell r="E90">
            <v>101000</v>
          </cell>
          <cell r="F90" t="str">
            <v>L1</v>
          </cell>
          <cell r="G90" t="str">
            <v>NC</v>
          </cell>
          <cell r="H90" t="str">
            <v>JE#  T145  AFUDC (AFUDC 1)</v>
          </cell>
        </row>
        <row r="91">
          <cell r="A91" t="str">
            <v>T146</v>
          </cell>
          <cell r="B91" t="str">
            <v>JE#  T146 AFUDC - Equity CWIP (AFUDC 2)</v>
          </cell>
          <cell r="C91" t="str">
            <v>JE  T146  AFUDC - Equity CWIP (AFUDC 2)</v>
          </cell>
          <cell r="D91" t="str">
            <v>JE# T146 AFUDC - Equity CWIP (AFUDC 2)</v>
          </cell>
          <cell r="E91">
            <v>185035</v>
          </cell>
          <cell r="F91" t="str">
            <v>L1</v>
          </cell>
          <cell r="G91" t="str">
            <v>NC</v>
          </cell>
          <cell r="H91" t="str">
            <v>JE#  T146  AFUDC - Equity CWIP (AFUDC 2)</v>
          </cell>
        </row>
        <row r="92">
          <cell r="A92" t="str">
            <v>T147</v>
          </cell>
          <cell r="B92" t="str">
            <v>JE#  T147 Amortization of Regulatory Asset (AFUDC 3)</v>
          </cell>
          <cell r="C92" t="str">
            <v>JE  T147  Amortization of Regulatory Asset (AFUDC 3)</v>
          </cell>
          <cell r="D92" t="str">
            <v>JE# T147 Amortization of Regulatory Asset (AFUDC 3)</v>
          </cell>
          <cell r="E92">
            <v>185055</v>
          </cell>
          <cell r="F92" t="str">
            <v>L1</v>
          </cell>
          <cell r="G92" t="str">
            <v>NC</v>
          </cell>
          <cell r="H92" t="str">
            <v>JE#  T147  Amortization of Regulatory Asset (AFUDC 3)</v>
          </cell>
        </row>
        <row r="93">
          <cell r="A93" t="str">
            <v>T150</v>
          </cell>
          <cell r="B93" t="str">
            <v>JE#  T150 Post AFUDC (P AFUDC 1)</v>
          </cell>
          <cell r="C93" t="str">
            <v>JE  T150  Post AFUDC (P AFUDC 1)</v>
          </cell>
          <cell r="D93" t="str">
            <v>JE# T150 Post AFUDC (P AFUDC 1)</v>
          </cell>
          <cell r="E93">
            <v>186434</v>
          </cell>
          <cell r="F93" t="str">
            <v>L1</v>
          </cell>
          <cell r="G93" t="str">
            <v>NC</v>
          </cell>
          <cell r="H93" t="str">
            <v>JE#  T150  Post AFUDC (P AFUDC 1)</v>
          </cell>
        </row>
        <row r="94">
          <cell r="A94" t="str">
            <v>T151</v>
          </cell>
          <cell r="B94" t="str">
            <v>JE#  T151 Amortization of Post In-Service AFUDC (P AFUDC 2)</v>
          </cell>
          <cell r="C94" t="str">
            <v>JE  T151  Amortization of Post In-Service AFUDC (P AFUDC 2)</v>
          </cell>
          <cell r="D94" t="str">
            <v>JE# T151 Amortization of Post In-Service AFUDC (P AFUDC 2)</v>
          </cell>
          <cell r="E94">
            <v>101000</v>
          </cell>
          <cell r="F94" t="str">
            <v>L1</v>
          </cell>
          <cell r="G94" t="str">
            <v>NC</v>
          </cell>
          <cell r="H94" t="str">
            <v>JE#  T151  Amortization of Post In-Service AFUDC (P AFUDC 2)</v>
          </cell>
        </row>
        <row r="95">
          <cell r="A95" t="str">
            <v>T152</v>
          </cell>
          <cell r="B95" t="str">
            <v>JE#  T152 Pavement Repairs</v>
          </cell>
          <cell r="C95" t="str">
            <v>JE  T152  Pavement Repairs</v>
          </cell>
          <cell r="D95" t="str">
            <v>JE# T152 Pavement Repairs</v>
          </cell>
          <cell r="E95">
            <v>241500</v>
          </cell>
          <cell r="F95" t="str">
            <v>L1</v>
          </cell>
          <cell r="G95" t="str">
            <v>NC</v>
          </cell>
          <cell r="H95" t="str">
            <v>JE#  T152  Pavement Repairs</v>
          </cell>
        </row>
        <row r="96">
          <cell r="A96" t="str">
            <v>T160</v>
          </cell>
          <cell r="B96" t="str">
            <v>JE#  T160 Deferred Maintenance (Maint 1)</v>
          </cell>
          <cell r="C96" t="str">
            <v>JE  T160  Deferred Maintenance (Maint 1)</v>
          </cell>
          <cell r="D96" t="str">
            <v>JE# T160 Deferred Maintenance (Maint 1)</v>
          </cell>
          <cell r="E96">
            <v>186401</v>
          </cell>
          <cell r="F96" t="str">
            <v>L5</v>
          </cell>
          <cell r="G96" t="str">
            <v>NC</v>
          </cell>
          <cell r="H96" t="str">
            <v>JE#  T160  Deferred Maintenance (Maint 1)</v>
          </cell>
        </row>
        <row r="97">
          <cell r="A97" t="str">
            <v>T161</v>
          </cell>
          <cell r="B97" t="str">
            <v>JE#  T161 Deferred Maintenance (Maint 2)</v>
          </cell>
          <cell r="C97" t="str">
            <v>JE  T161  Deferred Maintenance (Maint 2)</v>
          </cell>
          <cell r="D97" t="str">
            <v>JE# T161 Deferred Maintenance (Maint 2)</v>
          </cell>
          <cell r="E97">
            <v>265650</v>
          </cell>
          <cell r="F97" t="str">
            <v>A7</v>
          </cell>
          <cell r="G97" t="str">
            <v>NC</v>
          </cell>
          <cell r="H97" t="str">
            <v>JE#  T161  Deferred Maintenance (Maint 2)</v>
          </cell>
        </row>
        <row r="98">
          <cell r="A98" t="str">
            <v>T165</v>
          </cell>
          <cell r="B98" t="str">
            <v>JE#  T165 Miscellaneous Deferred Debits (Misc 1)</v>
          </cell>
          <cell r="C98" t="str">
            <v>JE  T165  Miscellaneous Deferred Debits (Misc 1)</v>
          </cell>
          <cell r="D98" t="str">
            <v>JE# T165 Miscellaneous Deferred Debits (Misc 1)</v>
          </cell>
          <cell r="E98">
            <v>186000</v>
          </cell>
          <cell r="F98" t="str">
            <v>L5</v>
          </cell>
          <cell r="G98" t="str">
            <v>NC</v>
          </cell>
          <cell r="H98" t="str">
            <v>JE#  T165  Miscellaneous Deferred Debits (Misc 1)</v>
          </cell>
        </row>
        <row r="99">
          <cell r="A99" t="str">
            <v>T166</v>
          </cell>
          <cell r="B99" t="str">
            <v>JE#  T166 Miscellaneous Deferred Credits (Misc 2)</v>
          </cell>
          <cell r="C99" t="str">
            <v>JE  T166  Miscellaneous Deferred Credits (Misc 2)</v>
          </cell>
          <cell r="D99" t="str">
            <v>JE# T166 Miscellaneous Deferred Credits (Misc 2)</v>
          </cell>
          <cell r="E99">
            <v>262000</v>
          </cell>
          <cell r="F99" t="str">
            <v>L5</v>
          </cell>
          <cell r="G99" t="str">
            <v>NC</v>
          </cell>
          <cell r="H99" t="str">
            <v>JE#  T166  Miscellaneous Deferred Credits (Misc 2)</v>
          </cell>
        </row>
        <row r="100">
          <cell r="A100" t="str">
            <v>T167</v>
          </cell>
          <cell r="B100" t="str">
            <v>JE#  T167 Miscellaneous Deferred Credits (Misc 3)</v>
          </cell>
          <cell r="C100" t="str">
            <v>JE  T167  Miscellaneous Deferred Credits (Misc 3)</v>
          </cell>
          <cell r="D100" t="str">
            <v>JE# T167 Miscellaneous Deferred Credits (Misc 3)</v>
          </cell>
          <cell r="E100">
            <v>262000</v>
          </cell>
          <cell r="F100" t="str">
            <v>L5</v>
          </cell>
          <cell r="G100" t="str">
            <v>NC</v>
          </cell>
          <cell r="H100" t="str">
            <v>JE#  T167  Miscellaneous Deferred Credits (Misc 3)</v>
          </cell>
        </row>
        <row r="101">
          <cell r="A101" t="str">
            <v>T170</v>
          </cell>
          <cell r="B101" t="str">
            <v>JE#  T170  Deferred Revenue</v>
          </cell>
          <cell r="C101" t="str">
            <v>JE  T170  Deferred Revenue</v>
          </cell>
          <cell r="D101" t="str">
            <v>JE# T170  Deferred Revenue</v>
          </cell>
          <cell r="E101">
            <v>173000</v>
          </cell>
          <cell r="F101" t="str">
            <v>L5</v>
          </cell>
          <cell r="G101" t="str">
            <v>NC</v>
          </cell>
          <cell r="H101" t="str">
            <v>JE#  T170  Deferred Revenue</v>
          </cell>
        </row>
        <row r="102">
          <cell r="A102" t="str">
            <v>T175</v>
          </cell>
          <cell r="B102" t="str">
            <v>JE#  T175  Acquisition Costs</v>
          </cell>
          <cell r="C102" t="str">
            <v>JE  T175  Acquisition Costs</v>
          </cell>
          <cell r="D102" t="str">
            <v>JE# T175  Acquisition Costs</v>
          </cell>
          <cell r="E102">
            <v>123140</v>
          </cell>
          <cell r="F102" t="str">
            <v>L2</v>
          </cell>
          <cell r="G102" t="str">
            <v>NC</v>
          </cell>
          <cell r="H102" t="str">
            <v>JE#  T175  Acquisition Costs</v>
          </cell>
        </row>
        <row r="103">
          <cell r="A103" t="str">
            <v>T180</v>
          </cell>
          <cell r="B103" t="str">
            <v>JE#  T180 Insurance Other than Group</v>
          </cell>
          <cell r="C103" t="str">
            <v>JE  T180  Insurance Other than Group</v>
          </cell>
          <cell r="D103" t="str">
            <v>JE# T180 Insurance Other than Group</v>
          </cell>
          <cell r="E103">
            <v>262180</v>
          </cell>
          <cell r="F103" t="str">
            <v>L5</v>
          </cell>
          <cell r="G103" t="str">
            <v>NC</v>
          </cell>
          <cell r="H103" t="str">
            <v>JE#  T180  Insurance Other than Group</v>
          </cell>
        </row>
        <row r="104">
          <cell r="A104" t="str">
            <v>T185</v>
          </cell>
          <cell r="B104" t="str">
            <v>JE#  T185 Deferred Security Costs</v>
          </cell>
          <cell r="C104" t="str">
            <v>JE  T185  Deferred Security Costs</v>
          </cell>
          <cell r="D104" t="str">
            <v>JE# T185 Deferred Security Costs</v>
          </cell>
          <cell r="E104">
            <v>186492</v>
          </cell>
          <cell r="F104" t="str">
            <v>L6</v>
          </cell>
          <cell r="G104" t="str">
            <v>NC</v>
          </cell>
          <cell r="H104" t="str">
            <v>JE#  T185  Deferred Security Costs</v>
          </cell>
        </row>
        <row r="105">
          <cell r="A105" t="str">
            <v>T186</v>
          </cell>
          <cell r="B105" t="str">
            <v>JE#  T186 Deferred Customer Service Center Costs</v>
          </cell>
          <cell r="C105" t="str">
            <v>JE  T186  Deferred Customer Service Center Costs</v>
          </cell>
          <cell r="D105" t="str">
            <v>JE# T186 Deferred Customer Service Center Costs</v>
          </cell>
          <cell r="E105">
            <v>183280</v>
          </cell>
          <cell r="F105" t="str">
            <v>L5</v>
          </cell>
          <cell r="G105" t="str">
            <v>NC</v>
          </cell>
          <cell r="H105" t="str">
            <v>JE#  T186  Deferred Customer Service Center Costs</v>
          </cell>
        </row>
        <row r="106">
          <cell r="A106" t="str">
            <v>T187</v>
          </cell>
          <cell r="B106" t="str">
            <v>JE#  T187 Deferred Financial Services Costs</v>
          </cell>
          <cell r="C106" t="str">
            <v>JE  T187  Deferred Financial Services Costs</v>
          </cell>
          <cell r="D106" t="str">
            <v>JE# T187 Deferred Financial Services Costs</v>
          </cell>
          <cell r="E106">
            <v>183281</v>
          </cell>
          <cell r="F106" t="str">
            <v>L5</v>
          </cell>
          <cell r="G106" t="str">
            <v>NC</v>
          </cell>
          <cell r="H106" t="str">
            <v>JE#  T187  Deferred Financial Services Costs</v>
          </cell>
        </row>
        <row r="107">
          <cell r="A107" t="str">
            <v>T190</v>
          </cell>
          <cell r="B107" t="str">
            <v>JE#  T190 Deferred Business Change Costs</v>
          </cell>
          <cell r="C107" t="str">
            <v>JE  T190  Deferred Business Change Costs</v>
          </cell>
          <cell r="D107" t="str">
            <v>JE# T190 Deferred Business Change Costs</v>
          </cell>
          <cell r="E107">
            <v>186414</v>
          </cell>
          <cell r="F107" t="str">
            <v>A7</v>
          </cell>
          <cell r="G107" t="str">
            <v>NC</v>
          </cell>
          <cell r="H107" t="str">
            <v>JE#  T190  Deferred Business Change Costs</v>
          </cell>
        </row>
        <row r="108">
          <cell r="A108" t="str">
            <v>T191</v>
          </cell>
          <cell r="B108" t="str">
            <v>JE#  T191 Deferred IMO Costs</v>
          </cell>
          <cell r="C108" t="str">
            <v>JE  T191  Deferred IMO Costs</v>
          </cell>
          <cell r="D108" t="str">
            <v>JE# T191 Deferred IMO Costs</v>
          </cell>
          <cell r="E108">
            <v>186415</v>
          </cell>
          <cell r="F108" t="str">
            <v>A7</v>
          </cell>
          <cell r="G108" t="str">
            <v>NC</v>
          </cell>
          <cell r="H108" t="str">
            <v>JE#  T191  Deferred IMO Costs</v>
          </cell>
        </row>
        <row r="109">
          <cell r="A109" t="str">
            <v>T200</v>
          </cell>
          <cell r="B109" t="str">
            <v>JE#  T200 Transaction Costs</v>
          </cell>
          <cell r="C109" t="str">
            <v>JE  T200  Transaction Costs</v>
          </cell>
          <cell r="D109" t="str">
            <v>JE# T200 Transaction Costs</v>
          </cell>
          <cell r="E109">
            <v>210240</v>
          </cell>
          <cell r="F109" t="str">
            <v>L5</v>
          </cell>
          <cell r="G109" t="str">
            <v>NC</v>
          </cell>
          <cell r="H109" t="str">
            <v>JE#  T200  Transaction Costs</v>
          </cell>
        </row>
        <row r="110">
          <cell r="A110" t="str">
            <v>T210</v>
          </cell>
          <cell r="B110" t="str">
            <v>JE#  T210 Section 163(j) Limitation</v>
          </cell>
          <cell r="C110" t="str">
            <v>JE  T210  Section 163(j) Limitation</v>
          </cell>
          <cell r="D110" t="str">
            <v>JE# T210 Section 163(j) Limitation</v>
          </cell>
          <cell r="E110">
            <v>210240</v>
          </cell>
          <cell r="F110" t="str">
            <v>A7</v>
          </cell>
          <cell r="G110" t="str">
            <v>C</v>
          </cell>
          <cell r="H110" t="str">
            <v>JE#  T210  Section 163(j) Limitation</v>
          </cell>
        </row>
        <row r="111">
          <cell r="A111" t="str">
            <v>T215</v>
          </cell>
          <cell r="B111" t="str">
            <v>JE#  T215  DO NOT USE  after 2003 Foreign Interest-267 Adjustment</v>
          </cell>
          <cell r="C111" t="str">
            <v>JE  T215  DO NOT USE  after 2003 Foreign Interest-267 Adjustment</v>
          </cell>
          <cell r="D111" t="str">
            <v>JE# T215  DO NOT USE  after 2003 Foreign Interest-267 Adjustment</v>
          </cell>
          <cell r="E111">
            <v>210240</v>
          </cell>
          <cell r="F111" t="str">
            <v>A7</v>
          </cell>
          <cell r="G111" t="str">
            <v>C</v>
          </cell>
          <cell r="H111" t="str">
            <v>JE#  T215  DO NOT USE  after 2003 Foreign Interest-267 Adjustment</v>
          </cell>
        </row>
        <row r="112">
          <cell r="A112" t="str">
            <v>T216</v>
          </cell>
          <cell r="B112" t="str">
            <v>JE#  T216 Foreign Interest-267 Adjustment</v>
          </cell>
          <cell r="C112" t="str">
            <v>JE  T216  Foreign Interest-267 Adjustment</v>
          </cell>
          <cell r="D112" t="str">
            <v>JE# T216 Foreign Interest-267 Adjustment</v>
          </cell>
          <cell r="E112">
            <v>210240</v>
          </cell>
          <cell r="F112" t="str">
            <v>L5</v>
          </cell>
          <cell r="G112" t="str">
            <v>C</v>
          </cell>
          <cell r="H112" t="str">
            <v>JE#  T216  Foreign Interest-267 Adjustment</v>
          </cell>
        </row>
        <row r="113">
          <cell r="A113" t="str">
            <v>T220</v>
          </cell>
          <cell r="B113" t="str">
            <v>JE#  T220 JV Gain/Loss</v>
          </cell>
          <cell r="C113" t="str">
            <v>JE  T220  JV Gain/Loss</v>
          </cell>
          <cell r="D113" t="str">
            <v>JE# T220 JV Gain/Loss</v>
          </cell>
          <cell r="E113">
            <v>108000</v>
          </cell>
          <cell r="F113" t="str">
            <v>A7</v>
          </cell>
          <cell r="G113" t="str">
            <v>C</v>
          </cell>
          <cell r="H113" t="str">
            <v>JE#  T220  JV Gain/Loss</v>
          </cell>
        </row>
        <row r="114">
          <cell r="A114" t="str">
            <v>T225</v>
          </cell>
          <cell r="B114" t="str">
            <v>JE#  T225 Medicare Part D-Temp M-1 Reclass</v>
          </cell>
          <cell r="C114" t="str">
            <v>JE  T225  Medicare Part D-Temp M-1 Reclass</v>
          </cell>
          <cell r="D114" t="str">
            <v>JE# T225 Medicare Part D-Temp M-1 Reclass</v>
          </cell>
          <cell r="E114">
            <v>210240</v>
          </cell>
          <cell r="F114" t="str">
            <v>L5</v>
          </cell>
          <cell r="G114" t="str">
            <v>NC</v>
          </cell>
          <cell r="H114" t="str">
            <v>Medicare Subsidy offset (T225 in P/Y)</v>
          </cell>
        </row>
        <row r="115">
          <cell r="A115" t="str">
            <v>U100</v>
          </cell>
          <cell r="B115" t="str">
            <v>JE#  U100  Deferred Security Offset</v>
          </cell>
          <cell r="C115" t="str">
            <v>JE  U100  Deferred Security Offset</v>
          </cell>
          <cell r="D115" t="str">
            <v>JE# U100  Deferred Security Offset</v>
          </cell>
          <cell r="E115">
            <v>186492</v>
          </cell>
          <cell r="F115" t="str">
            <v>L6</v>
          </cell>
          <cell r="G115" t="str">
            <v>NC</v>
          </cell>
          <cell r="H115" t="str">
            <v>JE#  U100  Deferred Security Offset</v>
          </cell>
        </row>
        <row r="116">
          <cell r="A116" t="str">
            <v>U101</v>
          </cell>
          <cell r="B116" t="str">
            <v>JE#  U101  Deferred Customer Service Offset</v>
          </cell>
          <cell r="C116" t="str">
            <v>JE  U101  Deferred Customer Service Offset</v>
          </cell>
          <cell r="D116" t="str">
            <v>JE# U101  Deferred Customer Service Offset</v>
          </cell>
          <cell r="E116">
            <v>183280</v>
          </cell>
          <cell r="F116" t="str">
            <v>L5</v>
          </cell>
          <cell r="G116" t="str">
            <v>NC</v>
          </cell>
          <cell r="H116" t="str">
            <v>JE#  U101  Deferred Customer Service Offset</v>
          </cell>
        </row>
        <row r="117">
          <cell r="A117" t="str">
            <v>U102</v>
          </cell>
          <cell r="B117" t="str">
            <v>JE#  U102  Deferred Financial Services Offset</v>
          </cell>
          <cell r="C117" t="str">
            <v>JE  U102  Deferred Financial Services Offset</v>
          </cell>
          <cell r="D117" t="str">
            <v>JE# U102  Deferred Financial Services Offset</v>
          </cell>
          <cell r="E117">
            <v>183281</v>
          </cell>
          <cell r="F117" t="str">
            <v>L5</v>
          </cell>
          <cell r="G117" t="str">
            <v>NC</v>
          </cell>
          <cell r="H117" t="str">
            <v>JE#  U102  Deferred Financial Services Offset</v>
          </cell>
        </row>
        <row r="118">
          <cell r="A118" t="str">
            <v>U103</v>
          </cell>
          <cell r="B118" t="str">
            <v>JE#  U103  Miscellaneous Deferred Offset</v>
          </cell>
          <cell r="C118" t="str">
            <v>JE  U103  Miscellaneous Deferred Offset</v>
          </cell>
          <cell r="D118" t="str">
            <v>JE# U103  Miscellaneous Deferred Offset</v>
          </cell>
          <cell r="E118">
            <v>262000</v>
          </cell>
          <cell r="F118" t="str">
            <v>L5</v>
          </cell>
          <cell r="G118" t="str">
            <v>NC</v>
          </cell>
          <cell r="H118" t="str">
            <v>JE#  U103  Miscellaneous Deferred Offset</v>
          </cell>
        </row>
        <row r="119">
          <cell r="A119" t="str">
            <v>Z000</v>
          </cell>
          <cell r="B119" t="str">
            <v>JE#  Z000 Prov/Rtn Adjustment - R&amp;D</v>
          </cell>
          <cell r="C119" t="str">
            <v>JE  Z000  Prov/Rtn Adjustment - R&amp;D</v>
          </cell>
          <cell r="D119" t="str">
            <v>JE# Z000 Prov/Rtn Adjustment - R&amp;D</v>
          </cell>
          <cell r="E119">
            <v>210240</v>
          </cell>
          <cell r="F119" t="str">
            <v>L5</v>
          </cell>
          <cell r="G119" t="str">
            <v>NC</v>
          </cell>
          <cell r="H119" t="str">
            <v>JE#  Z000  Prov/Rtn Adjustment - R&amp;D</v>
          </cell>
        </row>
        <row r="120">
          <cell r="A120" t="str">
            <v>Z001</v>
          </cell>
          <cell r="B120" t="str">
            <v>JE#  Z001 Prov/Rtn Adj-Env. Tax</v>
          </cell>
          <cell r="C120" t="str">
            <v>JE  Z001  Prov/Rtn Adj-Env. Tax</v>
          </cell>
          <cell r="D120" t="str">
            <v>JE# Z001 Prov/Rtn Adj-Env. Tax</v>
          </cell>
          <cell r="E120">
            <v>236150</v>
          </cell>
          <cell r="F120" t="str">
            <v>L5</v>
          </cell>
          <cell r="G120" t="str">
            <v>NC</v>
          </cell>
          <cell r="H120" t="str">
            <v>JE#  Z001  Prov/Rtn Adj-Env. Tax</v>
          </cell>
        </row>
        <row r="121">
          <cell r="A121" t="str">
            <v>Z004</v>
          </cell>
          <cell r="B121" t="str">
            <v>JE#  Z004  Prov/Rtn Adjustment - Misc Deferred</v>
          </cell>
          <cell r="C121" t="str">
            <v>JE  Z004  Prov/Rtn Adjustment - Misc Deferred</v>
          </cell>
          <cell r="D121" t="str">
            <v>JE# Z004  Prov/Rtn Adjustment - Misc Deferred</v>
          </cell>
          <cell r="E121">
            <v>186000</v>
          </cell>
          <cell r="F121" t="str">
            <v>L5</v>
          </cell>
          <cell r="G121" t="str">
            <v>NC</v>
          </cell>
          <cell r="H121" t="str">
            <v>JE#  Z004  Prov/Rtn Adjustment - Misc Deferred</v>
          </cell>
        </row>
        <row r="122">
          <cell r="A122" t="str">
            <v>Z005</v>
          </cell>
          <cell r="B122" t="str">
            <v>JE#  Z005 Prov/Rtn Adjustment - Taxable Advances</v>
          </cell>
          <cell r="C122" t="str">
            <v>JE  Z005  Prov/Rtn Adjustment - Taxable Advances</v>
          </cell>
          <cell r="D122" t="str">
            <v>JE# Z005 Prov/Rtn Adjustment - Taxable Advances</v>
          </cell>
          <cell r="E122">
            <v>252200</v>
          </cell>
          <cell r="F122" t="str">
            <v>L5</v>
          </cell>
          <cell r="G122" t="str">
            <v>NC</v>
          </cell>
          <cell r="H122" t="str">
            <v>JE#  Z005  Prov/Rtn Adjustment - Taxable Advances</v>
          </cell>
        </row>
        <row r="123">
          <cell r="A123" t="str">
            <v>Z006</v>
          </cell>
          <cell r="B123" t="str">
            <v>JE#  Z006  Prov/Rtn Rec - Deferred Maintenance</v>
          </cell>
          <cell r="C123" t="str">
            <v>JE  Z006  Prov/Rtn Rec - Deferred Maintenance</v>
          </cell>
          <cell r="D123" t="str">
            <v>JE# Z006  Prov/Rtn Rec - Deferred Maintenance</v>
          </cell>
          <cell r="E123">
            <v>186401</v>
          </cell>
          <cell r="F123" t="str">
            <v>L5</v>
          </cell>
          <cell r="G123" t="str">
            <v>NC</v>
          </cell>
          <cell r="H123" t="str">
            <v>JE#  Z006  Prov/Rtn Rec - Deferred Maintenance</v>
          </cell>
        </row>
        <row r="124">
          <cell r="A124" t="str">
            <v>Z007</v>
          </cell>
          <cell r="B124" t="str">
            <v>JE#  Z007 Prov/Rtn adjustment - Nondeductible penalties</v>
          </cell>
          <cell r="C124" t="str">
            <v>JE  Z007  Prov/Rtn adjustment - Nondeductible penalties</v>
          </cell>
          <cell r="D124" t="str">
            <v>JE# Z007 Prov/Rtn adjustment - Nondeductible penalties</v>
          </cell>
          <cell r="E124">
            <v>210240</v>
          </cell>
          <cell r="F124" t="str">
            <v>L5</v>
          </cell>
          <cell r="G124" t="str">
            <v>NC</v>
          </cell>
          <cell r="H124" t="str">
            <v>JE#  Z007  Prov/Rtn adjustment - Nondeductible penalties</v>
          </cell>
        </row>
        <row r="125">
          <cell r="A125" t="str">
            <v>Z010</v>
          </cell>
          <cell r="B125" t="str">
            <v>JE#  Z010 Prov/Rtn Adjustment - Non-Deductible Donations</v>
          </cell>
          <cell r="C125" t="str">
            <v>JE  Z010  Prov/Rtn Adjustment - Non-Deductible Donations</v>
          </cell>
          <cell r="D125" t="str">
            <v>JE# Z010 Prov/Rtn Adjustment - Non-Deductible Donations</v>
          </cell>
          <cell r="E125">
            <v>210240</v>
          </cell>
          <cell r="F125" t="str">
            <v>L5</v>
          </cell>
          <cell r="G125" t="str">
            <v>NC</v>
          </cell>
          <cell r="H125" t="str">
            <v>JE#  Z010  Prov/Rtn Adjustment - Non-Deductible Donations</v>
          </cell>
        </row>
        <row r="126">
          <cell r="A126" t="str">
            <v>Z015</v>
          </cell>
          <cell r="B126" t="str">
            <v>JE#  Z015  Prov/Rtn Adj. -  From K-1-Other Income</v>
          </cell>
          <cell r="C126" t="str">
            <v>JE  Z015  Prov/Rtn Adj. -  From K-1-Other Income</v>
          </cell>
          <cell r="D126" t="str">
            <v>JE# Z015  Prov/Rtn Adj. -  From K-1-Other Income</v>
          </cell>
          <cell r="E126">
            <v>210240</v>
          </cell>
          <cell r="F126" t="str">
            <v>L5</v>
          </cell>
          <cell r="G126" t="str">
            <v>NC</v>
          </cell>
          <cell r="H126" t="str">
            <v>JE#  Z015  Prov/Rtn Adj. -  From K-1-Other Income</v>
          </cell>
        </row>
        <row r="127">
          <cell r="A127" t="str">
            <v>Z016</v>
          </cell>
          <cell r="B127" t="str">
            <v>JE#  Z016  Prov/Rtn Adj. -  From K-1-interest income</v>
          </cell>
          <cell r="C127" t="str">
            <v>JE  Z016  Prov/Rtn Adj. -  From K-1-interest income</v>
          </cell>
          <cell r="D127" t="str">
            <v>JE# Z016  Prov/Rtn Adj. -  From K-1-interest income</v>
          </cell>
          <cell r="E127">
            <v>210240</v>
          </cell>
          <cell r="F127" t="str">
            <v>L5</v>
          </cell>
          <cell r="G127" t="str">
            <v>NC</v>
          </cell>
          <cell r="H127" t="str">
            <v>JE#  Z016  Prov/Rtn Adj. -  From K-1-interest income</v>
          </cell>
        </row>
        <row r="128">
          <cell r="A128" t="str">
            <v>Z017</v>
          </cell>
          <cell r="B128" t="str">
            <v>JE#  Z017 Prov/Rtn Adj. - From K-1-Char.Contributions</v>
          </cell>
          <cell r="C128" t="str">
            <v>JE  Z017  Prov/Rtn Adj. - From K-1-Char.Contributions</v>
          </cell>
          <cell r="D128" t="str">
            <v>JE# Z017 Prov/Rtn Adj. - From K-1-Char.Contributions</v>
          </cell>
          <cell r="E128">
            <v>210240</v>
          </cell>
          <cell r="F128" t="str">
            <v>L5</v>
          </cell>
          <cell r="G128" t="str">
            <v>NC</v>
          </cell>
          <cell r="H128" t="str">
            <v>JE#  Z017  Prov/Rtn Adj. - From K-1-Char.Contributions</v>
          </cell>
        </row>
        <row r="129">
          <cell r="A129" t="str">
            <v>Z018</v>
          </cell>
          <cell r="B129" t="str">
            <v>JE#  Z018 Prov/Rtn Adj. - M&amp;E</v>
          </cell>
          <cell r="C129" t="str">
            <v>JE  Z018  Prov/Rtn Adj. - M&amp;E</v>
          </cell>
          <cell r="D129" t="str">
            <v>JE# Z018 Prov/Rtn Adj. - M&amp;E</v>
          </cell>
          <cell r="E129">
            <v>210240</v>
          </cell>
          <cell r="F129" t="str">
            <v>L5</v>
          </cell>
          <cell r="G129" t="str">
            <v>NC</v>
          </cell>
          <cell r="H129" t="str">
            <v>JE#  Z018  Prov/Rtn Adj. - M&amp;E</v>
          </cell>
        </row>
        <row r="130">
          <cell r="A130" t="str">
            <v>Z019</v>
          </cell>
          <cell r="B130" t="str">
            <v>JE#  Z019  Prov/Rtn Adj - AFUDC</v>
          </cell>
          <cell r="C130" t="str">
            <v>JE  Z019  Prov/Rtn Adj - AFUDC</v>
          </cell>
          <cell r="D130" t="str">
            <v>JE# Z019  Prov/Rtn Adj - AFUDC</v>
          </cell>
          <cell r="E130">
            <v>185055</v>
          </cell>
          <cell r="F130" t="str">
            <v>L1</v>
          </cell>
          <cell r="G130" t="str">
            <v>NC</v>
          </cell>
          <cell r="H130" t="str">
            <v>JE#  Z019  Prov/Rtn Adj - AFUDC</v>
          </cell>
        </row>
        <row r="131">
          <cell r="A131" t="str">
            <v>Z020</v>
          </cell>
          <cell r="B131" t="str">
            <v>JE#  Z020  Prov/Rtn Adj - Merger Expense</v>
          </cell>
          <cell r="C131" t="str">
            <v>JE  Z020  Prov/Rtn Adj - Merger Expense</v>
          </cell>
          <cell r="D131" t="str">
            <v>JE# Z020  Prov/Rtn Adj - Merger Expense</v>
          </cell>
          <cell r="E131">
            <v>186410</v>
          </cell>
          <cell r="F131" t="str">
            <v>A7</v>
          </cell>
          <cell r="G131" t="str">
            <v>NC</v>
          </cell>
          <cell r="H131" t="str">
            <v>JE#  Z020  Prov/Rtn Adj - Merger Expense</v>
          </cell>
        </row>
        <row r="132">
          <cell r="A132" t="str">
            <v>Z021</v>
          </cell>
          <cell r="B132" t="str">
            <v>JE#  Z021 Prov/Rtn Adj - SIT Unamortized ITC (SIT 3)</v>
          </cell>
          <cell r="C132" t="str">
            <v>JE  Z021  Prov/Rtn Adj - SIT Unamortized ITC (SIT 3)</v>
          </cell>
          <cell r="D132" t="str">
            <v>JE# Z021 Prov/Rtn Adj - SIT Unamortized ITC (SIT 3)</v>
          </cell>
          <cell r="E132">
            <v>255105</v>
          </cell>
          <cell r="F132" t="str">
            <v>L5</v>
          </cell>
          <cell r="G132" t="str">
            <v>NC</v>
          </cell>
          <cell r="H132" t="str">
            <v>JE#  Z021  Prov/Rtn Adj - SIT Unamortized ITC (SIT 3)</v>
          </cell>
        </row>
        <row r="133">
          <cell r="A133" t="str">
            <v>Z022</v>
          </cell>
          <cell r="B133" t="str">
            <v>JE#  Z022  Prov/Rtn Adjustment - Uncollectibles</v>
          </cell>
          <cell r="C133" t="str">
            <v>JE  Z022  Prov/Rtn Adjustment - Uncollectibles</v>
          </cell>
          <cell r="D133" t="str">
            <v>JE# Z022  Prov/Rtn Adjustment - Uncollectibles</v>
          </cell>
          <cell r="E133">
            <v>143000</v>
          </cell>
          <cell r="F133" t="str">
            <v>A7</v>
          </cell>
          <cell r="G133" t="str">
            <v>C</v>
          </cell>
          <cell r="H133" t="str">
            <v>JE#  Z022  Prov/Rtn Adjustment - Uncollectibles</v>
          </cell>
        </row>
        <row r="134">
          <cell r="A134" t="str">
            <v>Z023</v>
          </cell>
          <cell r="B134" t="str">
            <v>JE#  Z023  Prov/Return Adjustment - Rate Case</v>
          </cell>
          <cell r="C134" t="str">
            <v>JE  Z023  Prov/Return Adjustment - Rate Case</v>
          </cell>
          <cell r="D134" t="str">
            <v>JE# Z023  Prov/Return Adjustment - Rate Case</v>
          </cell>
          <cell r="E134">
            <v>182000</v>
          </cell>
          <cell r="F134" t="str">
            <v>L5</v>
          </cell>
          <cell r="G134" t="str">
            <v>NC</v>
          </cell>
          <cell r="H134" t="str">
            <v>JE#  Z023  Prov/Return Adjustment - Rate Case</v>
          </cell>
        </row>
        <row r="135">
          <cell r="A135" t="str">
            <v>ZZ01</v>
          </cell>
          <cell r="B135" t="str">
            <v>JE#  ZZ01  Def Hist - Plant a/c 101000</v>
          </cell>
          <cell r="C135" t="str">
            <v>JE  ZZ01  Def Hist - Plant a/c 101000</v>
          </cell>
          <cell r="D135" t="str">
            <v>JE# ZZ01  Def Hist - Plant a/c 101000</v>
          </cell>
          <cell r="E135">
            <v>101000</v>
          </cell>
          <cell r="F135" t="str">
            <v>L1</v>
          </cell>
          <cell r="G135" t="str">
            <v>NC</v>
          </cell>
          <cell r="H135" t="str">
            <v>JE#  ZZ01  Def Hist - Plant a/c 101000</v>
          </cell>
        </row>
        <row r="136">
          <cell r="A136" t="str">
            <v>ZZ02</v>
          </cell>
          <cell r="B136" t="str">
            <v>JE#  ZZ02  Def Hist - Land a/c 101303</v>
          </cell>
          <cell r="C136" t="str">
            <v>JE  ZZ02  Def Hist - Land a/c 101303</v>
          </cell>
          <cell r="D136" t="str">
            <v>JE# ZZ02  Def Hist - Land a/c 101303</v>
          </cell>
          <cell r="E136">
            <v>101303</v>
          </cell>
          <cell r="F136" t="str">
            <v>L5</v>
          </cell>
          <cell r="G136" t="str">
            <v>NC</v>
          </cell>
          <cell r="H136" t="str">
            <v>JE#  ZZ02  Def Hist - Land a/c 101303</v>
          </cell>
        </row>
        <row r="137">
          <cell r="A137" t="str">
            <v>ZZ03</v>
          </cell>
          <cell r="B137" t="str">
            <v>JE#  ZZ03  Def Hist - Prop. Held Future Use a/c 103000</v>
          </cell>
          <cell r="C137" t="str">
            <v>JE  ZZ03  Def Hist - Prop. Held Future Use a/c 103000</v>
          </cell>
          <cell r="D137" t="str">
            <v>JE# ZZ03  Def Hist - Prop. Held Future Use a/c 103000</v>
          </cell>
          <cell r="E137">
            <v>103000</v>
          </cell>
          <cell r="F137" t="str">
            <v>L5</v>
          </cell>
          <cell r="G137" t="str">
            <v>NC</v>
          </cell>
          <cell r="H137" t="str">
            <v>JE#  ZZ03  Def Hist - Prop. Held Future Use a/c 103000</v>
          </cell>
        </row>
        <row r="138">
          <cell r="A138" t="str">
            <v>ZZ04</v>
          </cell>
          <cell r="B138" t="str">
            <v>JE#  ZZ04  Def Hist - Depreciation a/c 108000</v>
          </cell>
          <cell r="C138" t="str">
            <v>JE  ZZ04  Def Hist - Depreciation a/c 108000</v>
          </cell>
          <cell r="D138" t="str">
            <v>JE# ZZ04  Def Hist - Depreciation a/c 108000</v>
          </cell>
          <cell r="E138">
            <v>108000</v>
          </cell>
          <cell r="F138" t="str">
            <v>L1</v>
          </cell>
          <cell r="G138" t="str">
            <v>NC</v>
          </cell>
          <cell r="H138" t="str">
            <v>JE#  ZZ04  Def Hist - Depreciation a/c 108000</v>
          </cell>
        </row>
        <row r="139">
          <cell r="A139" t="str">
            <v>ZZ05</v>
          </cell>
          <cell r="B139" t="str">
            <v>JE#  ZZ05  Def Hist - Amortization a/c 110000</v>
          </cell>
          <cell r="C139" t="str">
            <v>JE  ZZ05  Def Hist - Amortization a/c 110000</v>
          </cell>
          <cell r="D139" t="str">
            <v>JE# ZZ05  Def Hist - Amortization a/c 110000</v>
          </cell>
          <cell r="E139">
            <v>110000</v>
          </cell>
          <cell r="F139" t="str">
            <v>L1</v>
          </cell>
          <cell r="G139" t="str">
            <v>NC</v>
          </cell>
          <cell r="H139" t="str">
            <v>JE#  ZZ05  Def Hist - Amortization a/c 110000</v>
          </cell>
        </row>
        <row r="140">
          <cell r="A140" t="str">
            <v>ZZ06</v>
          </cell>
          <cell r="B140" t="str">
            <v>JE#  ZZ06  Def Hist - Amort UPAA a/c 114000</v>
          </cell>
          <cell r="C140" t="str">
            <v>JE  ZZ06  Def Hist - Amort UPAA a/c 114000</v>
          </cell>
          <cell r="D140" t="str">
            <v>JE# ZZ06  Def Hist - Amort UPAA a/c 114000</v>
          </cell>
          <cell r="E140">
            <v>114000</v>
          </cell>
          <cell r="F140" t="str">
            <v>L1</v>
          </cell>
          <cell r="G140" t="str">
            <v>NC</v>
          </cell>
          <cell r="H140" t="str">
            <v>JE#  ZZ06  Def Hist - Amort UPAA a/c 114000</v>
          </cell>
        </row>
        <row r="141">
          <cell r="A141" t="str">
            <v>ZZ07</v>
          </cell>
          <cell r="B141" t="str">
            <v>JE#  ZZ07 Def Hist - Nonutility Proprety a/c 121000</v>
          </cell>
          <cell r="C141" t="str">
            <v>JE  ZZ07  Def Hist - Nonutility Proprety a/c 121000</v>
          </cell>
          <cell r="D141" t="str">
            <v>JE# ZZ07 Def Hist - Nonutility Proprety a/c 121000</v>
          </cell>
          <cell r="E141">
            <v>121000</v>
          </cell>
          <cell r="F141" t="str">
            <v>L1</v>
          </cell>
          <cell r="G141" t="str">
            <v>NC</v>
          </cell>
          <cell r="H141" t="str">
            <v>JE#  ZZ07  Def Hist - Nonutility Proprety a/c 121000</v>
          </cell>
        </row>
        <row r="142">
          <cell r="A142" t="str">
            <v>ZZ08</v>
          </cell>
          <cell r="B142" t="str">
            <v>JE#  ZZ08 Def Hist - Acc Depr Nonutility Prop a/c 122000</v>
          </cell>
          <cell r="C142" t="str">
            <v>JE  ZZ08  Def Hist - Acc Depr Nonutility Prop a/c 122000</v>
          </cell>
          <cell r="D142" t="str">
            <v>JE# ZZ08 Def Hist - Acc Depr Nonutility Prop a/c 122000</v>
          </cell>
          <cell r="E142">
            <v>122000</v>
          </cell>
          <cell r="F142" t="str">
            <v>L1</v>
          </cell>
          <cell r="G142" t="str">
            <v>NC</v>
          </cell>
          <cell r="H142" t="str">
            <v>JE#  ZZ08  Def Hist - Acc Depr Nonutility Prop a/c 122000</v>
          </cell>
        </row>
        <row r="143">
          <cell r="A143" t="str">
            <v>ZZ09</v>
          </cell>
          <cell r="B143" t="str">
            <v>JE#  ZZ09  Def Hist - Vacation Pay a/c 174100</v>
          </cell>
          <cell r="C143" t="str">
            <v>JE  ZZ09  Def Hist - Vacation Pay a/c 174100</v>
          </cell>
          <cell r="D143" t="str">
            <v>JE# ZZ09  Def Hist - Vacation Pay a/c 174100</v>
          </cell>
          <cell r="E143">
            <v>174100</v>
          </cell>
          <cell r="F143" t="str">
            <v>L5</v>
          </cell>
          <cell r="G143" t="str">
            <v>C</v>
          </cell>
          <cell r="H143" t="str">
            <v>JE#  ZZ09  Def Hist - Vacation Pay a/c 174100</v>
          </cell>
        </row>
        <row r="144">
          <cell r="A144" t="str">
            <v>ZZ10</v>
          </cell>
          <cell r="B144" t="str">
            <v>JE#  ZZ10  Def Hist - Debt Discount a/c 181000</v>
          </cell>
          <cell r="C144" t="str">
            <v>JE  ZZ10  Def Hist - Debt Discount a/c 181000</v>
          </cell>
          <cell r="D144" t="str">
            <v>JE# ZZ10  Def Hist - Debt Discount a/c 181000</v>
          </cell>
          <cell r="E144">
            <v>181000</v>
          </cell>
          <cell r="F144" t="str">
            <v>L5</v>
          </cell>
          <cell r="G144" t="str">
            <v>NC</v>
          </cell>
          <cell r="H144" t="str">
            <v>JE#  ZZ10  Def Hist - Debt Discount a/c 181000</v>
          </cell>
        </row>
        <row r="145">
          <cell r="A145" t="str">
            <v>ZZ13</v>
          </cell>
          <cell r="B145" t="str">
            <v>JE#  ZZ13  Def Hist - Reg Pension a/c 186422</v>
          </cell>
          <cell r="C145" t="str">
            <v>JE  ZZ13  Def Hist - Reg Pension a/c 186422</v>
          </cell>
          <cell r="D145" t="str">
            <v>JE# ZZ13  Def Hist - Reg Pension a/c 186422</v>
          </cell>
          <cell r="E145">
            <v>186422</v>
          </cell>
          <cell r="F145" t="str">
            <v>A5</v>
          </cell>
          <cell r="G145" t="str">
            <v>NC</v>
          </cell>
          <cell r="H145" t="str">
            <v>JE#  ZZ13  Def Hist - Reg Pension a/c 186422</v>
          </cell>
        </row>
        <row r="146">
          <cell r="A146" t="str">
            <v>ZZ14</v>
          </cell>
          <cell r="B146" t="str">
            <v>JE#  ZZ14  Def Hist - Customer Deposits a/c 238010</v>
          </cell>
          <cell r="C146" t="str">
            <v>JE  ZZ14  Def Hist - Customer Deposits a/c 238010</v>
          </cell>
          <cell r="D146" t="str">
            <v>JE# ZZ14  Def Hist - Customer Deposits a/c 238010</v>
          </cell>
          <cell r="E146">
            <v>238010</v>
          </cell>
          <cell r="F146" t="str">
            <v>A7</v>
          </cell>
          <cell r="G146" t="str">
            <v>C</v>
          </cell>
          <cell r="H146" t="str">
            <v>JE#  ZZ14  Def Hist - Customer Deposits a/c 238010</v>
          </cell>
        </row>
        <row r="147">
          <cell r="A147" t="str">
            <v>ZZ15</v>
          </cell>
          <cell r="B147" t="str">
            <v>JE#  ZZ15  Def Hist - Unclaimed Cus Dep - a/c 238020</v>
          </cell>
          <cell r="C147" t="str">
            <v>JE  ZZ15  Def Hist - Unclaimed Cus Dep - a/c 238020</v>
          </cell>
          <cell r="D147" t="str">
            <v>JE# ZZ15  Def Hist - Unclaimed Cus Dep - a/c 238020</v>
          </cell>
          <cell r="E147">
            <v>238020</v>
          </cell>
          <cell r="F147" t="str">
            <v>A7</v>
          </cell>
          <cell r="G147" t="str">
            <v>C</v>
          </cell>
          <cell r="H147" t="str">
            <v>JE#  ZZ15  Def Hist - Unclaimed Cus Dep - a/c 238020</v>
          </cell>
        </row>
        <row r="148">
          <cell r="A148" t="str">
            <v>ZZ23</v>
          </cell>
          <cell r="B148" t="str">
            <v>JE#  ZZ23  Def Hist - Reg Pension a/c 262110</v>
          </cell>
          <cell r="C148" t="str">
            <v>JE  ZZ23  Def Hist - Reg Pension a/c 262110</v>
          </cell>
          <cell r="D148" t="str">
            <v>JE# ZZ23  Def Hist - Reg Pension a/c 262110</v>
          </cell>
          <cell r="E148">
            <v>262110</v>
          </cell>
          <cell r="F148" t="str">
            <v>A5</v>
          </cell>
          <cell r="G148" t="str">
            <v>NC</v>
          </cell>
          <cell r="H148" t="str">
            <v>JE#  ZZ23  Def Hist - Reg Pension a/c 262110</v>
          </cell>
        </row>
        <row r="149">
          <cell r="A149" t="str">
            <v>ZZ24</v>
          </cell>
          <cell r="B149" t="str">
            <v>JE#  ZZ24  Def Hist - Reg Pension AWWS a/c 262111</v>
          </cell>
          <cell r="C149" t="str">
            <v>JE  ZZ24  Def Hist - Reg Pension AWWS a/c 262111</v>
          </cell>
          <cell r="D149" t="str">
            <v>JE# ZZ24  Def Hist - Reg Pension AWWS a/c 262111</v>
          </cell>
          <cell r="E149">
            <v>262111</v>
          </cell>
          <cell r="F149" t="str">
            <v>A5</v>
          </cell>
          <cell r="G149" t="str">
            <v>NC</v>
          </cell>
          <cell r="H149" t="str">
            <v>JE#  ZZ24  Def Hist - Reg Pension AWWS a/c 262111</v>
          </cell>
        </row>
        <row r="150">
          <cell r="A150" t="str">
            <v>ZZ25</v>
          </cell>
          <cell r="B150" t="str">
            <v>JE#  ZZ25  Def Hist - Supplemental Pension a/c 262140</v>
          </cell>
          <cell r="C150" t="str">
            <v>JE  ZZ25  Def Hist - Supplemental Pension a/c 262140</v>
          </cell>
          <cell r="D150" t="str">
            <v>JE# ZZ25  Def Hist - Supplemental Pension a/c 262140</v>
          </cell>
          <cell r="E150">
            <v>262140</v>
          </cell>
          <cell r="F150" t="str">
            <v>A5</v>
          </cell>
          <cell r="G150" t="str">
            <v>NC</v>
          </cell>
          <cell r="H150" t="str">
            <v>JE#  ZZ25  Def Hist - Supplemental Pension a/c 262140</v>
          </cell>
        </row>
        <row r="151">
          <cell r="A151" t="str">
            <v>ZZ26</v>
          </cell>
          <cell r="B151" t="str">
            <v>JE#  ZZ26  Def Hist - Def Comp Incentive Plan a/c 262317</v>
          </cell>
          <cell r="C151" t="str">
            <v>JE  ZZ26  Def Hist - Def Comp Incentive Plan a/c 262317</v>
          </cell>
          <cell r="D151" t="str">
            <v>JE# ZZ26  Def Hist - Def Comp Incentive Plan a/c 262317</v>
          </cell>
          <cell r="E151">
            <v>262317</v>
          </cell>
          <cell r="F151" t="str">
            <v>A7</v>
          </cell>
          <cell r="G151" t="str">
            <v>NC</v>
          </cell>
          <cell r="H151" t="str">
            <v>JE#  ZZ26  Def Hist - Def Comp Incentive Plan a/c 262317</v>
          </cell>
        </row>
        <row r="152">
          <cell r="A152" t="str">
            <v>ZZ27</v>
          </cell>
          <cell r="B152" t="str">
            <v>JE#  ZZ27  Def Hist - Other Deferred Cr Analyzed a/c 262000</v>
          </cell>
          <cell r="C152" t="str">
            <v>JE  ZZ27  Def Hist - Other Deferred Cr Analyzed a/c 262000</v>
          </cell>
          <cell r="D152" t="str">
            <v>JE# ZZ27  Def Hist - Other Deferred Cr Analyzed a/c 262000</v>
          </cell>
          <cell r="E152">
            <v>262000</v>
          </cell>
          <cell r="F152" t="str">
            <v>L5</v>
          </cell>
          <cell r="G152" t="str">
            <v>NC</v>
          </cell>
          <cell r="H152" t="str">
            <v>JE#  ZZ27  Def Hist - Other Deferred Cr Analyzed a/c 262000</v>
          </cell>
        </row>
        <row r="153">
          <cell r="A153" t="str">
            <v>ZZ28</v>
          </cell>
          <cell r="B153" t="str">
            <v>JE#  ZZ28  Def Hist - Other Assets Analyzed a/c 186000</v>
          </cell>
          <cell r="C153" t="str">
            <v>JE  ZZ28  Def Hist - Other Assets Analyzed a/c 186000</v>
          </cell>
          <cell r="D153" t="str">
            <v>JE# ZZ28  Def Hist - Other Assets Analyzed a/c 186000</v>
          </cell>
          <cell r="E153">
            <v>186000</v>
          </cell>
          <cell r="F153" t="str">
            <v>L5</v>
          </cell>
          <cell r="G153" t="str">
            <v>NC</v>
          </cell>
          <cell r="H153" t="str">
            <v>JE#  ZZ28  Def Hist - Other Assets Analyzed a/c 186000</v>
          </cell>
        </row>
        <row r="154">
          <cell r="A154" t="str">
            <v>ZZ29</v>
          </cell>
          <cell r="B154" t="str">
            <v>JE#  ZZ29  Def Hist - Nonutility Property-Land a/c 121100</v>
          </cell>
          <cell r="C154" t="str">
            <v>JE  ZZ29  Def Hist - Nonutility Property-Land a/c 121100</v>
          </cell>
          <cell r="D154" t="str">
            <v>JE# ZZ29  Def Hist - Nonutility Property-Land a/c 121100</v>
          </cell>
          <cell r="E154">
            <v>121100</v>
          </cell>
          <cell r="F154" t="str">
            <v>L5</v>
          </cell>
          <cell r="G154" t="str">
            <v>NC</v>
          </cell>
          <cell r="H154" t="str">
            <v>JE#  ZZ29  Def Hist - Nonutility Property-Land a/c 121100</v>
          </cell>
        </row>
        <row r="155">
          <cell r="A155" t="str">
            <v>ZZ30</v>
          </cell>
          <cell r="B155" t="str">
            <v>JE#  ZZ30  Def Hist - Accum Amort-CIAC a/c 272000</v>
          </cell>
          <cell r="C155" t="str">
            <v>JE  ZZ30  Def Hist - Accum Amort-CIAC a/c 272000</v>
          </cell>
          <cell r="D155" t="str">
            <v>JE# ZZ30  Def Hist - Accum Amort-CIAC a/c 272000</v>
          </cell>
          <cell r="E155">
            <v>272000</v>
          </cell>
          <cell r="F155" t="str">
            <v>A7</v>
          </cell>
          <cell r="G155" t="str">
            <v>NC</v>
          </cell>
          <cell r="H155" t="str">
            <v>JE#  ZZ30  Def Hist - Accum Amort-CIAC a/c 272000</v>
          </cell>
        </row>
        <row r="156">
          <cell r="A156" t="str">
            <v>ZZ32</v>
          </cell>
          <cell r="B156" t="str">
            <v>JE#  ZZ32  Def Hist - CIAC-Taxable SIT a/c 271300</v>
          </cell>
          <cell r="C156" t="str">
            <v>JE  ZZ32  Def Hist - CIAC-Taxable SIT a/c 271300</v>
          </cell>
          <cell r="D156" t="str">
            <v>JE# ZZ32  Def Hist - CIAC-Taxable SIT a/c 271300</v>
          </cell>
          <cell r="E156">
            <v>271300</v>
          </cell>
          <cell r="F156" t="str">
            <v>A7</v>
          </cell>
          <cell r="G156" t="str">
            <v>NC</v>
          </cell>
          <cell r="H156" t="str">
            <v>JE#  ZZ32  Def Hist - CIAC-Taxable SIT a/c 271300</v>
          </cell>
        </row>
        <row r="157">
          <cell r="A157" t="str">
            <v>ZZ33</v>
          </cell>
          <cell r="B157" t="str">
            <v>JE#  ZZ33 Def Hist - Curr Def SIT/LIT a/c 236320</v>
          </cell>
          <cell r="C157" t="str">
            <v>JE  ZZ33  Def Hist - Curr Def SIT/LIT a/c 236320</v>
          </cell>
          <cell r="D157" t="str">
            <v>JE# ZZ33 Def Hist - Curr Def SIT/LIT a/c 236320</v>
          </cell>
          <cell r="E157">
            <v>236320</v>
          </cell>
          <cell r="F157" t="str">
            <v>L5</v>
          </cell>
          <cell r="G157" t="str">
            <v>NC</v>
          </cell>
          <cell r="H157" t="str">
            <v>JE#  ZZ33  Def Hist - Curr Def SIT/LIT a/c 236320</v>
          </cell>
        </row>
        <row r="158">
          <cell r="A158" t="str">
            <v>ZZ34</v>
          </cell>
          <cell r="B158" t="str">
            <v>JE#  ZZ34 Def Hist - Noncurrent Def SIT/LIT a/c 253220</v>
          </cell>
          <cell r="C158" t="str">
            <v>JE  ZZ34  Def Hist - Noncurrent Def SIT/LIT a/c 253220</v>
          </cell>
          <cell r="D158" t="str">
            <v>JE# ZZ34 Def Hist - Noncurrent Def SIT/LIT a/c 253220</v>
          </cell>
          <cell r="E158">
            <v>253220</v>
          </cell>
          <cell r="F158" t="str">
            <v>L5</v>
          </cell>
          <cell r="G158" t="str">
            <v>NC</v>
          </cell>
          <cell r="H158" t="str">
            <v>JE#  ZZ34  Def Hist - Noncurrent Def SIT/LIT a/c 253220</v>
          </cell>
        </row>
        <row r="159">
          <cell r="A159" t="str">
            <v>ZZ35</v>
          </cell>
          <cell r="B159" t="str">
            <v>JE#  ZZ35  Def Hist - Acc Amort-CIAC Taxable a/c 272100</v>
          </cell>
          <cell r="C159" t="str">
            <v>JE  ZZ35  Def Hist - Acc Amort-CIAC Taxable a/c 272100</v>
          </cell>
          <cell r="D159" t="str">
            <v>JE# ZZ35  Def Hist - Acc Amort-CIAC Taxable a/c 272100</v>
          </cell>
          <cell r="E159">
            <v>272100</v>
          </cell>
          <cell r="F159" t="str">
            <v>A7</v>
          </cell>
          <cell r="G159" t="str">
            <v>NC</v>
          </cell>
          <cell r="H159" t="str">
            <v>JE#  ZZ35  Def Hist - Acc Amort-CIAC Taxable a/c 272100</v>
          </cell>
        </row>
        <row r="160">
          <cell r="A160" t="str">
            <v>ZZ36</v>
          </cell>
          <cell r="B160" t="str">
            <v>JE#  ZZ36  Def Hist - Accum Amort UPAA - a/c 115000</v>
          </cell>
          <cell r="C160" t="str">
            <v>JE  ZZ36  Def Hist - Accum Amort UPAA - a/c 115000</v>
          </cell>
          <cell r="D160" t="str">
            <v>JE# ZZ36  Def Hist - Accum Amort UPAA - a/c 115000</v>
          </cell>
          <cell r="E160">
            <v>115000</v>
          </cell>
          <cell r="F160" t="str">
            <v>L5</v>
          </cell>
          <cell r="G160" t="str">
            <v>NC</v>
          </cell>
          <cell r="H160" t="str">
            <v>JE#  ZZ36  Def Hist - Accum Amort UPAA - a/c 115000</v>
          </cell>
        </row>
        <row r="161">
          <cell r="A161" t="str">
            <v>ZZ37</v>
          </cell>
          <cell r="B161" t="str">
            <v>JE#  ZZ37  Def Hist - Uncollectible Accounts - a/c 143000</v>
          </cell>
          <cell r="C161" t="str">
            <v>JE  ZZ37  Def Hist - Uncollectible Accounts - a/c 143000</v>
          </cell>
          <cell r="D161" t="str">
            <v>JE# ZZ37  Def Hist - Uncollectible Accounts - a/c 143000</v>
          </cell>
          <cell r="E161">
            <v>143000</v>
          </cell>
          <cell r="F161" t="str">
            <v>A7</v>
          </cell>
          <cell r="G161" t="str">
            <v>C</v>
          </cell>
          <cell r="H161" t="str">
            <v>JE#  ZZ37  Def Hist - Uncollectible Accounts - a/c 143000</v>
          </cell>
        </row>
        <row r="162">
          <cell r="A162" t="str">
            <v>ZZ38</v>
          </cell>
          <cell r="B162" t="str">
            <v>JE#  ZZ38  Def Hist - Group Insurance - a/c 877205</v>
          </cell>
          <cell r="C162" t="str">
            <v>JE  ZZ38  Def Hist - Group Insurance - a/c 877205</v>
          </cell>
          <cell r="D162" t="str">
            <v>JE# ZZ38  Def Hist - Group Insurance - a/c 877205</v>
          </cell>
          <cell r="E162">
            <v>241200</v>
          </cell>
          <cell r="F162" t="str">
            <v>L5</v>
          </cell>
          <cell r="G162" t="str">
            <v>NC</v>
          </cell>
          <cell r="H162" t="str">
            <v>JE#  ZZ38  Def Hist - Group Insurance - a/c 877205</v>
          </cell>
        </row>
        <row r="163">
          <cell r="A163" t="str">
            <v>ZZ39</v>
          </cell>
          <cell r="B163" t="str">
            <v>JE#  ZZ39  Def Hist - Incentive Plan-Stock - a/c 262318</v>
          </cell>
          <cell r="C163" t="str">
            <v>JE  ZZ39  Def Hist - Incentive Plan-Stock - a/c 262318</v>
          </cell>
          <cell r="D163" t="str">
            <v>JE# ZZ39  Def Hist - Incentive Plan-Stock - a/c 262318</v>
          </cell>
          <cell r="E163">
            <v>262318</v>
          </cell>
          <cell r="F163" t="str">
            <v>A7</v>
          </cell>
          <cell r="G163" t="str">
            <v>NC</v>
          </cell>
          <cell r="H163" t="str">
            <v>JE#  ZZ39  Def Hist - Incentive Plan-Stock - a/c 262318</v>
          </cell>
        </row>
        <row r="164">
          <cell r="A164" t="str">
            <v>ZZ40</v>
          </cell>
          <cell r="B164" t="str">
            <v>JE#  ZZ40  Def Hist - Rate Case Expense - a/c 182000</v>
          </cell>
          <cell r="C164" t="str">
            <v>JE  ZZ40  Def Hist - Rate Case Expense - a/c 182000</v>
          </cell>
          <cell r="D164" t="str">
            <v>JE# ZZ40  Def Hist - Rate Case Expense - a/c 182000</v>
          </cell>
          <cell r="E164">
            <v>182000</v>
          </cell>
          <cell r="F164" t="str">
            <v>L5</v>
          </cell>
          <cell r="G164" t="str">
            <v>NC</v>
          </cell>
          <cell r="H164" t="str">
            <v>JE#  ZZ40  Def Hist - Rate Case Expense - a/c 182000</v>
          </cell>
        </row>
        <row r="165">
          <cell r="A165" t="str">
            <v>ZZ41</v>
          </cell>
          <cell r="B165" t="str">
            <v>JE#  ZZ41  Def Hist-Purchased Water Outside a/c-186412</v>
          </cell>
          <cell r="C165" t="str">
            <v>JE  ZZ41  Def Hist-Purchased Water Outside a/c-186412</v>
          </cell>
          <cell r="D165" t="str">
            <v>JE# ZZ41  Def Hist-Purchased Water Outside a/c-186412</v>
          </cell>
          <cell r="E165">
            <v>186412</v>
          </cell>
          <cell r="F165" t="str">
            <v>L5</v>
          </cell>
          <cell r="G165" t="str">
            <v>NC</v>
          </cell>
          <cell r="H165" t="str">
            <v>JE#  ZZ41  Def Hist-Purchased Water Outside a/c-186412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Co List"/>
      <sheetName val="Federal NOL-CP"/>
      <sheetName val="Federal NOL-APB28"/>
      <sheetName val="State NOL"/>
      <sheetName val="Federal NOL-APB28 AMT"/>
      <sheetName val="APB 28-Calc for AMT"/>
      <sheetName val="Federal AMT"/>
      <sheetName val="QTR Consol Rt Recon-Q4 to Q3"/>
      <sheetName val="Footnote"/>
      <sheetName val="QTR Consol Rt Recon-Q4 10 to 09"/>
      <sheetName val="APB28 Adjustment for PT"/>
      <sheetName val="Sepco Rate Recon "/>
      <sheetName val="Current Provision - HYP"/>
      <sheetName val="APB 28-Calc"/>
      <sheetName val="Current Provision - JDE"/>
      <sheetName val="Journal Entries Calculation"/>
      <sheetName val="Taxinfo dwnld from HFM-12.31.10"/>
      <sheetName val="Taxinfo dwnld from HFM-12.31.09"/>
      <sheetName val="Hyperion-JDE Recon"/>
      <sheetName val="Input Sheet"/>
      <sheetName val="MO-IL-CA Offset DEF"/>
      <sheetName val="MO-IL-CA Offset CURR "/>
      <sheetName val="FAS109 Snapshot - 2010 - Region"/>
      <sheetName val="Combined NE Region FAS109 2010"/>
      <sheetName val="Consolidated FAS109 2010"/>
      <sheetName val="Combined SE Region FAS109 2009"/>
      <sheetName val="Combined CE Region FAS109 2009"/>
      <sheetName val="Combined WE Region FAS109 2010"/>
      <sheetName val="Combined AWE FAS109 2010"/>
      <sheetName val="Combined ADJ Region FAS109 2010"/>
      <sheetName val="Consol Adj FAS109 2010"/>
      <sheetName val="AWW Adj Co FAS109 2010"/>
      <sheetName val="Pres Adj FAS109 2010"/>
      <sheetName val="JDE Journal Entry-GAAP"/>
      <sheetName val="Macro (2)"/>
      <sheetName val="WV AW Unitary-IGNORE"/>
      <sheetName val="ACUS FAS109 2010"/>
      <sheetName val="ALWC FAS109 2010"/>
      <sheetName val="AWCC FAS109 2010"/>
      <sheetName val="AWE CANADA FAS109 2010"/>
      <sheetName val="AWE TS FAS109 2010"/>
      <sheetName val="AWE USA FAS109 2010"/>
      <sheetName val="AWM FAS109 2010"/>
      <sheetName val="AWM-DE FAS109 2010"/>
      <sheetName val="AWR FAS109 2010"/>
      <sheetName val="AWS, LLC FAS109 2010"/>
      <sheetName val="AWWC FAS 109 2010"/>
      <sheetName val="Unitary FAS109 2010"/>
      <sheetName val="AWWSC FAS109 2010"/>
      <sheetName val="AZ FAS109 2010"/>
      <sheetName val="BFD FAS109 2010"/>
      <sheetName val="CA FAS109 2010"/>
      <sheetName val="EDISON FAS109 2010"/>
      <sheetName val="Eliz WS LLC FAS109 2010"/>
      <sheetName val="ETOWN LLC FAS109 2010"/>
      <sheetName val="ETP FAS109 2010"/>
      <sheetName val="EWS LLC FAS109 2010"/>
      <sheetName val="HI FAS109 2010"/>
      <sheetName val="HYDRO FAS109 2010"/>
      <sheetName val="IL FAS109 2010"/>
      <sheetName val="IA FAS109 2010"/>
      <sheetName val="IN FAS109 2010"/>
      <sheetName val="KY FAS109 2010"/>
      <sheetName val="LI FAS109 2010"/>
      <sheetName val="LIBERTY FAS109 2010"/>
      <sheetName val="LOP FAS109 2010"/>
      <sheetName val="MD FAS109 2010"/>
      <sheetName val="MI FAS109 2010"/>
      <sheetName val="MO FAS109 2010"/>
      <sheetName val="NJ FAS109 2010"/>
      <sheetName val="NM FAS109 2010"/>
      <sheetName val="OH FAS109 2010"/>
      <sheetName val="PA FAS109 2010"/>
      <sheetName val="PWT FAS109 2010"/>
      <sheetName val="TN FAS109 2010"/>
      <sheetName val="TWH LLC FAS109 2010"/>
      <sheetName val="TWNA FAS109 2010"/>
      <sheetName val="TX FAS109 2010"/>
      <sheetName val="UESG FAS109 2010"/>
      <sheetName val="UWV FAS109 2010"/>
      <sheetName val="VA FAS109 2010"/>
      <sheetName val="WASTEWATER MGMT FAS109 2010"/>
      <sheetName val="WASTEWATER SVCS FAS109 2010"/>
      <sheetName val="WV FAS109 2010"/>
      <sheetName val="Open 2 FAS109 2010"/>
      <sheetName val="Coding (Do not delete)"/>
      <sheetName val="Worksheet (Do not delete)"/>
      <sheetName val="Consol Col &quot;W&quot; "/>
      <sheetName val="CY Pension-OPEB-Incentive"/>
      <sheetName val="CY FN Reclasses"/>
      <sheetName val="Fed NOL"/>
      <sheetName val="PY FN Reclasses"/>
      <sheetName val="Worksheet (Do not delete) (2)"/>
      <sheetName val="Worksheet (Do not delete)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F7">
            <v>3</v>
          </cell>
          <cell r="G7">
            <v>18</v>
          </cell>
          <cell r="H7">
            <v>21</v>
          </cell>
          <cell r="I7">
            <v>21.1</v>
          </cell>
          <cell r="J7">
            <v>38</v>
          </cell>
          <cell r="K7">
            <v>51</v>
          </cell>
          <cell r="L7">
            <v>54</v>
          </cell>
          <cell r="M7">
            <v>55</v>
          </cell>
          <cell r="N7">
            <v>56</v>
          </cell>
          <cell r="O7">
            <v>57</v>
          </cell>
          <cell r="P7">
            <v>4</v>
          </cell>
          <cell r="Q7">
            <v>12</v>
          </cell>
          <cell r="R7">
            <v>13</v>
          </cell>
          <cell r="S7">
            <v>24</v>
          </cell>
          <cell r="T7">
            <v>26</v>
          </cell>
          <cell r="U7">
            <v>27</v>
          </cell>
          <cell r="V7">
            <v>28</v>
          </cell>
          <cell r="W7">
            <v>42</v>
          </cell>
          <cell r="X7">
            <v>85</v>
          </cell>
          <cell r="Y7">
            <v>87</v>
          </cell>
          <cell r="Z7">
            <v>9</v>
          </cell>
          <cell r="AA7">
            <v>10</v>
          </cell>
          <cell r="AB7">
            <v>11</v>
          </cell>
          <cell r="AC7">
            <v>16</v>
          </cell>
          <cell r="AD7">
            <v>17</v>
          </cell>
          <cell r="AE7">
            <v>22</v>
          </cell>
          <cell r="AF7">
            <v>44</v>
          </cell>
          <cell r="AG7">
            <v>50</v>
          </cell>
          <cell r="AI7">
            <v>2</v>
          </cell>
          <cell r="AJ7">
            <v>47</v>
          </cell>
          <cell r="AK7">
            <v>5</v>
          </cell>
          <cell r="AL7">
            <v>19</v>
          </cell>
          <cell r="AM7">
            <v>23</v>
          </cell>
          <cell r="AN7">
            <v>30</v>
          </cell>
          <cell r="AO7">
            <v>46</v>
          </cell>
          <cell r="AP7">
            <v>80</v>
          </cell>
          <cell r="AQ7">
            <v>90</v>
          </cell>
          <cell r="AR7">
            <v>91</v>
          </cell>
          <cell r="AS7">
            <v>60</v>
          </cell>
          <cell r="AT7">
            <v>65</v>
          </cell>
          <cell r="AU7">
            <v>61</v>
          </cell>
          <cell r="AV7">
            <v>99023</v>
          </cell>
          <cell r="AW7">
            <v>99021</v>
          </cell>
          <cell r="AX7">
            <v>64</v>
          </cell>
          <cell r="AY7">
            <v>58</v>
          </cell>
          <cell r="AZ7">
            <v>31</v>
          </cell>
          <cell r="BA7">
            <v>999</v>
          </cell>
          <cell r="BB7" t="str">
            <v>AWE TS</v>
          </cell>
          <cell r="BC7">
            <v>995</v>
          </cell>
          <cell r="BD7" t="str">
            <v>Present</v>
          </cell>
          <cell r="BE7" t="str">
            <v>Consol - T1</v>
          </cell>
          <cell r="BF7">
            <v>98723</v>
          </cell>
          <cell r="BQ7" t="str">
            <v>Consol. TR</v>
          </cell>
          <cell r="BY7" t="str">
            <v>TWAUSHI Adj - 1</v>
          </cell>
          <cell r="BZ7" t="str">
            <v>Present</v>
          </cell>
          <cell r="CD7" t="str">
            <v>TWAUSHI CONS</v>
          </cell>
        </row>
        <row r="8">
          <cell r="F8" t="str">
            <v>AWWS</v>
          </cell>
          <cell r="G8" t="str">
            <v>NJ</v>
          </cell>
          <cell r="H8" t="str">
            <v>AWR - LEASING</v>
          </cell>
          <cell r="I8" t="str">
            <v>AWR-SLP</v>
          </cell>
          <cell r="J8" t="str">
            <v>LI</v>
          </cell>
          <cell r="K8" t="str">
            <v>E'town LLC (fka E-TOWN CORP)</v>
          </cell>
          <cell r="L8" t="str">
            <v>EDISON</v>
          </cell>
          <cell r="M8" t="str">
            <v>LIBERTY</v>
          </cell>
          <cell r="N8" t="str">
            <v>E'town Services LLC</v>
          </cell>
          <cell r="O8" t="str">
            <v>E-TOWN PROPERTIES</v>
          </cell>
          <cell r="P8" t="str">
            <v>BFV</v>
          </cell>
          <cell r="Q8" t="str">
            <v>KY</v>
          </cell>
          <cell r="R8" t="str">
            <v>MD</v>
          </cell>
          <cell r="S8" t="str">
            <v>PA</v>
          </cell>
          <cell r="T8" t="str">
            <v>TN</v>
          </cell>
          <cell r="U8" t="str">
            <v>VA</v>
          </cell>
          <cell r="V8" t="str">
            <v>WV</v>
          </cell>
          <cell r="W8" t="str">
            <v>UWVA</v>
          </cell>
          <cell r="X8" t="str">
            <v>ACUS (Ashbrook)</v>
          </cell>
          <cell r="Y8" t="str">
            <v>HYDRO</v>
          </cell>
          <cell r="Z8" t="str">
            <v>IL</v>
          </cell>
          <cell r="AA8" t="str">
            <v>IN</v>
          </cell>
          <cell r="AB8" t="str">
            <v>IA</v>
          </cell>
          <cell r="AC8" t="str">
            <v>MI</v>
          </cell>
          <cell r="AD8" t="str">
            <v>MO</v>
          </cell>
          <cell r="AE8" t="str">
            <v>OH</v>
          </cell>
          <cell r="AF8" t="str">
            <v>LAKE WATER</v>
          </cell>
          <cell r="AG8" t="str">
            <v>TX</v>
          </cell>
          <cell r="AH8" t="str">
            <v>AWWC CA/MO/IL Offset</v>
          </cell>
          <cell r="AI8" t="str">
            <v>AWW</v>
          </cell>
          <cell r="AJ8" t="str">
            <v>AWS, LLC</v>
          </cell>
          <cell r="AK8" t="str">
            <v>CA</v>
          </cell>
          <cell r="AL8" t="str">
            <v>NM</v>
          </cell>
          <cell r="AM8" t="str">
            <v>AZ</v>
          </cell>
          <cell r="AN8" t="str">
            <v>HI</v>
          </cell>
          <cell r="AO8" t="str">
            <v>AWCC</v>
          </cell>
          <cell r="AP8" t="str">
            <v>LOP</v>
          </cell>
          <cell r="AQ8" t="str">
            <v>TWHLLC (fka TWHINC)</v>
          </cell>
          <cell r="AR8" t="str">
            <v>TWNA</v>
          </cell>
          <cell r="AS8" t="str">
            <v>PWT Waste Solutions</v>
          </cell>
          <cell r="AT8" t="str">
            <v>UESG Holdings, Inc.</v>
          </cell>
          <cell r="AU8" t="str">
            <v>AWM</v>
          </cell>
          <cell r="AV8" t="str">
            <v>AWM OF DE</v>
          </cell>
          <cell r="AW8" t="str">
            <v>APP WASTE</v>
          </cell>
          <cell r="AX8" t="str">
            <v>AWWM</v>
          </cell>
          <cell r="AY8" t="str">
            <v>Eliz Water Services LLC</v>
          </cell>
          <cell r="AZ8" t="str">
            <v>AWE US</v>
          </cell>
          <cell r="BA8" t="str">
            <v>AWE CANADA</v>
          </cell>
          <cell r="BB8" t="str">
            <v>AWE Topsides</v>
          </cell>
          <cell r="BC8" t="str">
            <v>TW Puerto Rico</v>
          </cell>
          <cell r="BD8" t="str">
            <v>Presentation Adjustments</v>
          </cell>
          <cell r="BE8" t="str">
            <v>Consolidating Adjustments</v>
          </cell>
          <cell r="BF8" t="str">
            <v>AWW Consolidating Adjustments Co</v>
          </cell>
          <cell r="BI8" t="str">
            <v>Merged Entity #02 AWW</v>
          </cell>
          <cell r="BJ8" t="str">
            <v>Merged Entity #18 New Jersey</v>
          </cell>
          <cell r="BK8" t="str">
            <v>Merged Entity #21 AWR</v>
          </cell>
          <cell r="BL8" t="str">
            <v>Merged Entity #998 AWE US</v>
          </cell>
          <cell r="BM8" t="str">
            <v>Merged Entity #50 Texas</v>
          </cell>
          <cell r="BN8" t="str">
            <v>Remaining Entities (Not Merged)</v>
          </cell>
          <cell r="BO8" t="str">
            <v>SUBTOTAL - US</v>
          </cell>
          <cell r="BP8" t="str">
            <v>SUBTOTAL - CANADA</v>
          </cell>
          <cell r="BQ8" t="str">
            <v>TWAUSHI CONSOL (Ledger)</v>
          </cell>
          <cell r="BT8" t="str">
            <v>Current Tax Calculation Computations</v>
          </cell>
          <cell r="BY8" t="str">
            <v>TWAUSHI Consolidating Adjustments Co</v>
          </cell>
          <cell r="BZ8" t="str">
            <v>Consol Presentation Adjustments</v>
          </cell>
          <cell r="CB8" t="str">
            <v>Topsides Cos' Subtotal</v>
          </cell>
          <cell r="CD8" t="str">
            <v>TWAUSHI CONSOL (Report)</v>
          </cell>
        </row>
        <row r="9">
          <cell r="F9">
            <v>6</v>
          </cell>
          <cell r="G9">
            <v>7</v>
          </cell>
          <cell r="H9">
            <v>8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AX9">
            <v>50</v>
          </cell>
          <cell r="AY9">
            <v>51</v>
          </cell>
          <cell r="AZ9">
            <v>52</v>
          </cell>
          <cell r="BA9">
            <v>53</v>
          </cell>
          <cell r="BB9">
            <v>54</v>
          </cell>
          <cell r="BC9">
            <v>55</v>
          </cell>
          <cell r="BD9">
            <v>56</v>
          </cell>
          <cell r="BE9">
            <v>57</v>
          </cell>
          <cell r="BF9">
            <v>58</v>
          </cell>
          <cell r="BO9">
            <v>67</v>
          </cell>
          <cell r="BP9">
            <v>68</v>
          </cell>
          <cell r="BQ9">
            <v>69</v>
          </cell>
          <cell r="BT9">
            <v>72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  <cell r="CB9">
            <v>80</v>
          </cell>
          <cell r="CD9">
            <v>82</v>
          </cell>
        </row>
        <row r="10">
          <cell r="A10" t="str">
            <v>Pre-Tax Income:</v>
          </cell>
        </row>
        <row r="11">
          <cell r="A11" t="str">
            <v>Pre-tax Income (Loss) - YTD - from Ledger</v>
          </cell>
          <cell r="F11">
            <v>-62915.000000059597</v>
          </cell>
          <cell r="G11">
            <v>117338599.3</v>
          </cell>
          <cell r="H11">
            <v>21175962.699999999</v>
          </cell>
          <cell r="I11">
            <v>0</v>
          </cell>
          <cell r="J11">
            <v>8811621.3399999905</v>
          </cell>
          <cell r="K11">
            <v>-3185838.62</v>
          </cell>
          <cell r="L11">
            <v>540393.200000001</v>
          </cell>
          <cell r="M11">
            <v>3611893.26</v>
          </cell>
          <cell r="N11">
            <v>80556.209999999905</v>
          </cell>
          <cell r="O11">
            <v>13280.59</v>
          </cell>
          <cell r="P11">
            <v>-45839.87</v>
          </cell>
          <cell r="Q11">
            <v>16546554.68</v>
          </cell>
          <cell r="R11">
            <v>722476.94</v>
          </cell>
          <cell r="S11">
            <v>121091372.78</v>
          </cell>
          <cell r="T11">
            <v>3095342.81</v>
          </cell>
          <cell r="U11">
            <v>4811340.6100000003</v>
          </cell>
          <cell r="V11">
            <v>14182789.970000001</v>
          </cell>
          <cell r="W11">
            <v>-218929.66</v>
          </cell>
          <cell r="X11">
            <v>24800.5</v>
          </cell>
          <cell r="Y11">
            <v>-781.64</v>
          </cell>
          <cell r="Z11">
            <v>24353455.93</v>
          </cell>
          <cell r="AA11">
            <v>31679519.609999999</v>
          </cell>
          <cell r="AB11">
            <v>4645236.17</v>
          </cell>
          <cell r="AC11">
            <v>225162.38</v>
          </cell>
          <cell r="AD11">
            <v>28805752.690000001</v>
          </cell>
          <cell r="AE11">
            <v>1495913.66</v>
          </cell>
          <cell r="AF11">
            <v>2665953.64</v>
          </cell>
          <cell r="AG11">
            <v>-65511.820000000102</v>
          </cell>
          <cell r="AH11">
            <v>0</v>
          </cell>
          <cell r="AI11">
            <v>-71469359.379999995</v>
          </cell>
          <cell r="AJ11">
            <v>-77426.509999999995</v>
          </cell>
          <cell r="AK11">
            <v>13813003.789999999</v>
          </cell>
          <cell r="AL11">
            <v>1030924.45</v>
          </cell>
          <cell r="AM11">
            <v>3069168.19</v>
          </cell>
          <cell r="AN11">
            <v>683028.75</v>
          </cell>
          <cell r="AO11">
            <v>1.00001167693335E-2</v>
          </cell>
          <cell r="AP11">
            <v>-4009.91</v>
          </cell>
          <cell r="AQ11">
            <v>2969824.01</v>
          </cell>
          <cell r="AR11">
            <v>1543688.21</v>
          </cell>
          <cell r="AS11">
            <v>-163.85</v>
          </cell>
          <cell r="AT11">
            <v>15130.07</v>
          </cell>
          <cell r="AU11">
            <v>-264392.33999999799</v>
          </cell>
          <cell r="AV11">
            <v>0</v>
          </cell>
          <cell r="AW11">
            <v>0</v>
          </cell>
          <cell r="AX11">
            <v>0</v>
          </cell>
          <cell r="AY11">
            <v>3457440.01</v>
          </cell>
          <cell r="AZ11">
            <v>-11340992.099265</v>
          </cell>
          <cell r="BA11">
            <v>919114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27897480.34</v>
          </cell>
          <cell r="BI11">
            <v>-71762800.5</v>
          </cell>
          <cell r="BJ11">
            <v>117338599.3</v>
          </cell>
          <cell r="BK11">
            <v>21175962.699999999</v>
          </cell>
          <cell r="BL11">
            <v>-7802995.8792650001</v>
          </cell>
          <cell r="BM11">
            <v>-65511.820000000102</v>
          </cell>
          <cell r="BN11">
            <v>314778252.29999995</v>
          </cell>
          <cell r="BO11">
            <v>373661506.10073495</v>
          </cell>
          <cell r="BP11">
            <v>919114</v>
          </cell>
          <cell r="BQ11">
            <v>374580620.10073495</v>
          </cell>
          <cell r="BT11">
            <v>0</v>
          </cell>
          <cell r="CB11">
            <v>0</v>
          </cell>
          <cell r="CD11">
            <v>374580620.10073495</v>
          </cell>
        </row>
        <row r="12">
          <cell r="A12" t="str">
            <v>Elimination of Intercompany Dividend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</row>
        <row r="13">
          <cell r="A13" t="str">
            <v>Elimination of Discotinued Operations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</row>
        <row r="14">
          <cell r="A14" t="str">
            <v>Goodwill Impairment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</row>
        <row r="15">
          <cell r="A15" t="str">
            <v>Reclass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A16" t="str">
            <v xml:space="preserve"> OPEN - (Insert Description)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Y16">
            <v>0</v>
          </cell>
          <cell r="CB16">
            <v>0</v>
          </cell>
          <cell r="CD16">
            <v>0</v>
          </cell>
        </row>
        <row r="17">
          <cell r="A17" t="str">
            <v xml:space="preserve"> OPEN - (Insert Description)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CB17">
            <v>0</v>
          </cell>
          <cell r="CD17">
            <v>0</v>
          </cell>
        </row>
        <row r="18">
          <cell r="A18" t="str">
            <v xml:space="preserve"> OPEN - (Insert Description)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CB18">
            <v>0</v>
          </cell>
          <cell r="CD18">
            <v>0</v>
          </cell>
        </row>
        <row r="20">
          <cell r="A20" t="str">
            <v xml:space="preserve">Final Actual GAAP Pre-Tax </v>
          </cell>
          <cell r="F20">
            <v>-62915.000000059597</v>
          </cell>
          <cell r="G20">
            <v>117338599.3</v>
          </cell>
          <cell r="H20">
            <v>21175962.699999999</v>
          </cell>
          <cell r="I20">
            <v>0</v>
          </cell>
          <cell r="J20">
            <v>8811621.3399999905</v>
          </cell>
          <cell r="K20">
            <v>-3185838.62</v>
          </cell>
          <cell r="L20">
            <v>540393.200000001</v>
          </cell>
          <cell r="M20">
            <v>3611893.26</v>
          </cell>
          <cell r="N20">
            <v>80556.209999999905</v>
          </cell>
          <cell r="O20">
            <v>13280.59</v>
          </cell>
          <cell r="P20">
            <v>-45839.87</v>
          </cell>
          <cell r="Q20">
            <v>16546554.68</v>
          </cell>
          <cell r="R20">
            <v>722476.94</v>
          </cell>
          <cell r="S20">
            <v>121091372.78</v>
          </cell>
          <cell r="T20">
            <v>3095342.81</v>
          </cell>
          <cell r="U20">
            <v>4811340.6100000003</v>
          </cell>
          <cell r="V20">
            <v>14182789.970000001</v>
          </cell>
          <cell r="W20">
            <v>-218929.66</v>
          </cell>
          <cell r="X20">
            <v>24800.5</v>
          </cell>
          <cell r="Y20">
            <v>-781.64</v>
          </cell>
          <cell r="Z20">
            <v>24353455.93</v>
          </cell>
          <cell r="AA20">
            <v>31679519.609999999</v>
          </cell>
          <cell r="AB20">
            <v>4645236.17</v>
          </cell>
          <cell r="AC20">
            <v>225162.38</v>
          </cell>
          <cell r="AD20">
            <v>28805752.690000001</v>
          </cell>
          <cell r="AE20">
            <v>1495913.66</v>
          </cell>
          <cell r="AF20">
            <v>2665953.64</v>
          </cell>
          <cell r="AG20">
            <v>-65511.820000000102</v>
          </cell>
          <cell r="AH20">
            <v>0</v>
          </cell>
          <cell r="AI20">
            <v>-71469359.379999995</v>
          </cell>
          <cell r="AJ20">
            <v>-77426.509999999995</v>
          </cell>
          <cell r="AK20">
            <v>13813003.789999999</v>
          </cell>
          <cell r="AL20">
            <v>1030924.45</v>
          </cell>
          <cell r="AM20">
            <v>3069168.19</v>
          </cell>
          <cell r="AN20">
            <v>683028.75</v>
          </cell>
          <cell r="AO20">
            <v>1.00001167693335E-2</v>
          </cell>
          <cell r="AP20">
            <v>-4009.91</v>
          </cell>
          <cell r="AQ20">
            <v>2969824.01</v>
          </cell>
          <cell r="AR20">
            <v>1543688.21</v>
          </cell>
          <cell r="AS20">
            <v>-163.85</v>
          </cell>
          <cell r="AT20">
            <v>15130.07</v>
          </cell>
          <cell r="AU20">
            <v>-264392.33999999799</v>
          </cell>
          <cell r="AV20">
            <v>0</v>
          </cell>
          <cell r="AW20">
            <v>0</v>
          </cell>
          <cell r="AX20">
            <v>0</v>
          </cell>
          <cell r="AY20">
            <v>3457440.01</v>
          </cell>
          <cell r="AZ20">
            <v>-11340992.099265</v>
          </cell>
          <cell r="BA20">
            <v>919114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27897480.34</v>
          </cell>
          <cell r="BI20">
            <v>-71762800.5</v>
          </cell>
          <cell r="BJ20">
            <v>117338599.3</v>
          </cell>
          <cell r="BK20">
            <v>21175962.699999999</v>
          </cell>
          <cell r="BL20">
            <v>-7802995.8792650001</v>
          </cell>
          <cell r="BM20">
            <v>-65511.820000000102</v>
          </cell>
          <cell r="BN20">
            <v>314778252.29999995</v>
          </cell>
          <cell r="BO20">
            <v>373661506.10073495</v>
          </cell>
          <cell r="BP20">
            <v>919114</v>
          </cell>
          <cell r="BQ20">
            <v>374580620.10073495</v>
          </cell>
          <cell r="BY20">
            <v>0</v>
          </cell>
          <cell r="BZ20">
            <v>0</v>
          </cell>
          <cell r="CB20">
            <v>0</v>
          </cell>
          <cell r="CD20">
            <v>374580620.10073495</v>
          </cell>
          <cell r="CE20" t="e">
            <v>#REF!</v>
          </cell>
        </row>
        <row r="21">
          <cell r="CE21" t="e">
            <v>#REF!</v>
          </cell>
        </row>
        <row r="22">
          <cell r="A22" t="str">
            <v>Permanent Differences:</v>
          </cell>
        </row>
        <row r="23">
          <cell r="A23" t="str">
            <v>JE#  P005  Meals and Entertainment</v>
          </cell>
          <cell r="B23" t="str">
            <v>P005</v>
          </cell>
          <cell r="D23" t="str">
            <v>TB</v>
          </cell>
          <cell r="F23">
            <v>406395.5</v>
          </cell>
          <cell r="G23">
            <v>100769.5</v>
          </cell>
          <cell r="H23">
            <v>0</v>
          </cell>
          <cell r="I23">
            <v>18131</v>
          </cell>
          <cell r="J23">
            <v>8154</v>
          </cell>
          <cell r="K23">
            <v>0</v>
          </cell>
          <cell r="L23">
            <v>5179.5</v>
          </cell>
          <cell r="M23">
            <v>6563</v>
          </cell>
          <cell r="N23">
            <v>4717.5</v>
          </cell>
          <cell r="O23">
            <v>0</v>
          </cell>
          <cell r="P23">
            <v>0</v>
          </cell>
          <cell r="Q23">
            <v>18358.5</v>
          </cell>
          <cell r="R23">
            <v>2625.5</v>
          </cell>
          <cell r="S23">
            <v>160416</v>
          </cell>
          <cell r="T23">
            <v>8524.5</v>
          </cell>
          <cell r="U23">
            <v>11121.5</v>
          </cell>
          <cell r="V23">
            <v>40362.5</v>
          </cell>
          <cell r="W23">
            <v>1947</v>
          </cell>
          <cell r="X23">
            <v>0</v>
          </cell>
          <cell r="Y23">
            <v>0</v>
          </cell>
          <cell r="Z23">
            <v>93633</v>
          </cell>
          <cell r="AA23">
            <v>37715.5</v>
          </cell>
          <cell r="AB23">
            <v>14250</v>
          </cell>
          <cell r="AC23">
            <v>300</v>
          </cell>
          <cell r="AD23">
            <v>89166.5</v>
          </cell>
          <cell r="AE23">
            <v>10164</v>
          </cell>
          <cell r="AF23">
            <v>0</v>
          </cell>
          <cell r="AG23">
            <v>305</v>
          </cell>
          <cell r="AH23">
            <v>0</v>
          </cell>
          <cell r="AI23">
            <v>93169</v>
          </cell>
          <cell r="AJ23">
            <v>0</v>
          </cell>
          <cell r="AK23">
            <v>94993</v>
          </cell>
          <cell r="AL23">
            <v>6590</v>
          </cell>
          <cell r="AM23">
            <v>20713.5</v>
          </cell>
          <cell r="AN23">
            <v>3848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2172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106532</v>
          </cell>
          <cell r="BA23">
            <v>7225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I23">
            <v>93169</v>
          </cell>
          <cell r="BJ23">
            <v>100769.5</v>
          </cell>
          <cell r="BK23">
            <v>18131</v>
          </cell>
          <cell r="BL23">
            <v>111249.5</v>
          </cell>
          <cell r="BM23">
            <v>305</v>
          </cell>
          <cell r="BN23">
            <v>1043193</v>
          </cell>
          <cell r="BO23">
            <v>1366817</v>
          </cell>
          <cell r="BP23">
            <v>7225</v>
          </cell>
          <cell r="BQ23">
            <v>1374042</v>
          </cell>
          <cell r="CB23">
            <v>0</v>
          </cell>
          <cell r="CD23">
            <v>1374042</v>
          </cell>
        </row>
        <row r="24">
          <cell r="A24" t="str">
            <v>JE#  P020  Nondeductible Penalties</v>
          </cell>
          <cell r="B24" t="str">
            <v>P020</v>
          </cell>
          <cell r="D24" t="str">
            <v>TB</v>
          </cell>
          <cell r="F24">
            <v>3956</v>
          </cell>
          <cell r="G24">
            <v>15712</v>
          </cell>
          <cell r="H24">
            <v>2133</v>
          </cell>
          <cell r="I24">
            <v>0</v>
          </cell>
          <cell r="J24">
            <v>6108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8112</v>
          </cell>
          <cell r="R24">
            <v>351</v>
          </cell>
          <cell r="S24">
            <v>75505</v>
          </cell>
          <cell r="T24">
            <v>20230</v>
          </cell>
          <cell r="U24">
            <v>1129</v>
          </cell>
          <cell r="V24">
            <v>-80</v>
          </cell>
          <cell r="W24">
            <v>36</v>
          </cell>
          <cell r="X24">
            <v>0</v>
          </cell>
          <cell r="Y24">
            <v>0</v>
          </cell>
          <cell r="Z24">
            <v>-491</v>
          </cell>
          <cell r="AA24">
            <v>3927</v>
          </cell>
          <cell r="AB24">
            <v>-1079</v>
          </cell>
          <cell r="AC24">
            <v>-570</v>
          </cell>
          <cell r="AD24">
            <v>-308</v>
          </cell>
          <cell r="AE24">
            <v>965</v>
          </cell>
          <cell r="AF24">
            <v>1282</v>
          </cell>
          <cell r="AG24">
            <v>3419</v>
          </cell>
          <cell r="AH24">
            <v>0</v>
          </cell>
          <cell r="AI24">
            <v>1080</v>
          </cell>
          <cell r="AJ24">
            <v>0</v>
          </cell>
          <cell r="AK24">
            <v>14676</v>
          </cell>
          <cell r="AL24">
            <v>5427</v>
          </cell>
          <cell r="AM24">
            <v>1463</v>
          </cell>
          <cell r="AN24">
            <v>66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12755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92507</v>
          </cell>
          <cell r="BA24">
            <v>618220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I24">
            <v>1080</v>
          </cell>
          <cell r="BJ24">
            <v>15712</v>
          </cell>
          <cell r="BK24">
            <v>2133</v>
          </cell>
          <cell r="BL24">
            <v>92507</v>
          </cell>
          <cell r="BM24">
            <v>3419</v>
          </cell>
          <cell r="BN24">
            <v>153460</v>
          </cell>
          <cell r="BO24">
            <v>268311</v>
          </cell>
          <cell r="BP24">
            <v>618220</v>
          </cell>
          <cell r="BQ24">
            <v>886531</v>
          </cell>
          <cell r="CB24">
            <v>0</v>
          </cell>
          <cell r="CD24">
            <v>886531</v>
          </cell>
        </row>
        <row r="25">
          <cell r="A25" t="str">
            <v>JE#  P025  Nondeductible Donations</v>
          </cell>
          <cell r="B25" t="str">
            <v>P025</v>
          </cell>
          <cell r="D25" t="str">
            <v>TB</v>
          </cell>
          <cell r="F25">
            <v>0</v>
          </cell>
          <cell r="G25">
            <v>29700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3250</v>
          </cell>
          <cell r="AA25">
            <v>0</v>
          </cell>
          <cell r="AB25">
            <v>0</v>
          </cell>
          <cell r="AC25">
            <v>0</v>
          </cell>
          <cell r="AD25">
            <v>1479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2400</v>
          </cell>
          <cell r="AJ25">
            <v>0</v>
          </cell>
          <cell r="AK25">
            <v>10544</v>
          </cell>
          <cell r="AL25">
            <v>1990</v>
          </cell>
          <cell r="AM25">
            <v>1500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4870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I25">
            <v>2400</v>
          </cell>
          <cell r="BJ25">
            <v>29700</v>
          </cell>
          <cell r="BK25">
            <v>0</v>
          </cell>
          <cell r="BL25">
            <v>4870</v>
          </cell>
          <cell r="BM25">
            <v>0</v>
          </cell>
          <cell r="BN25">
            <v>18763</v>
          </cell>
          <cell r="BO25">
            <v>55733</v>
          </cell>
          <cell r="BP25">
            <v>0</v>
          </cell>
          <cell r="BQ25">
            <v>55733</v>
          </cell>
          <cell r="CB25">
            <v>0</v>
          </cell>
          <cell r="CD25">
            <v>55733</v>
          </cell>
        </row>
        <row r="26">
          <cell r="A26" t="str">
            <v>JE#  P030  Nondeductible Dues</v>
          </cell>
          <cell r="B26" t="str">
            <v>P030</v>
          </cell>
          <cell r="D26" t="str">
            <v>TB</v>
          </cell>
          <cell r="F26">
            <v>12513</v>
          </cell>
          <cell r="G26">
            <v>3915</v>
          </cell>
          <cell r="H26">
            <v>0</v>
          </cell>
          <cell r="I26">
            <v>0</v>
          </cell>
          <cell r="J26">
            <v>15113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894</v>
          </cell>
          <cell r="R26">
            <v>0</v>
          </cell>
          <cell r="S26">
            <v>124095</v>
          </cell>
          <cell r="T26">
            <v>0</v>
          </cell>
          <cell r="U26">
            <v>982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19301</v>
          </cell>
          <cell r="AA26">
            <v>5702</v>
          </cell>
          <cell r="AB26">
            <v>3325</v>
          </cell>
          <cell r="AC26">
            <v>466</v>
          </cell>
          <cell r="AD26">
            <v>25721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26906</v>
          </cell>
          <cell r="AL26">
            <v>1344</v>
          </cell>
          <cell r="AM26">
            <v>10304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7409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I26">
            <v>0</v>
          </cell>
          <cell r="BJ26">
            <v>3915</v>
          </cell>
          <cell r="BK26">
            <v>0</v>
          </cell>
          <cell r="BL26">
            <v>0</v>
          </cell>
          <cell r="BM26">
            <v>0</v>
          </cell>
          <cell r="BN26">
            <v>254075</v>
          </cell>
          <cell r="BO26">
            <v>257990</v>
          </cell>
          <cell r="BP26">
            <v>0</v>
          </cell>
          <cell r="BQ26">
            <v>257990</v>
          </cell>
          <cell r="CB26">
            <v>0</v>
          </cell>
          <cell r="CD26">
            <v>257990</v>
          </cell>
        </row>
        <row r="27">
          <cell r="A27" t="str">
            <v>JE#  P035  Amortization of Preferred Stock Expense</v>
          </cell>
          <cell r="B27" t="str">
            <v>P035</v>
          </cell>
          <cell r="D27" t="str">
            <v>TB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1408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1408</v>
          </cell>
          <cell r="BO27">
            <v>1408</v>
          </cell>
          <cell r="BP27">
            <v>0</v>
          </cell>
          <cell r="BQ27">
            <v>1408</v>
          </cell>
          <cell r="CB27">
            <v>0</v>
          </cell>
          <cell r="CD27">
            <v>1408</v>
          </cell>
        </row>
        <row r="28">
          <cell r="A28" t="str">
            <v>JE#  P040  Lobbying Expenses</v>
          </cell>
          <cell r="B28" t="str">
            <v>P040</v>
          </cell>
          <cell r="D28" t="str">
            <v>TB</v>
          </cell>
          <cell r="F28">
            <v>0</v>
          </cell>
          <cell r="G28">
            <v>127933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10120</v>
          </cell>
          <cell r="N28">
            <v>0</v>
          </cell>
          <cell r="O28">
            <v>0</v>
          </cell>
          <cell r="P28">
            <v>0</v>
          </cell>
          <cell r="Q28">
            <v>65795</v>
          </cell>
          <cell r="R28">
            <v>4042</v>
          </cell>
          <cell r="S28">
            <v>7500</v>
          </cell>
          <cell r="T28">
            <v>340</v>
          </cell>
          <cell r="U28">
            <v>4318</v>
          </cell>
          <cell r="V28">
            <v>52183</v>
          </cell>
          <cell r="W28">
            <v>204</v>
          </cell>
          <cell r="X28">
            <v>0</v>
          </cell>
          <cell r="Y28">
            <v>0</v>
          </cell>
          <cell r="Z28">
            <v>101261</v>
          </cell>
          <cell r="AA28">
            <v>78563</v>
          </cell>
          <cell r="AB28">
            <v>30418</v>
          </cell>
          <cell r="AC28">
            <v>2324</v>
          </cell>
          <cell r="AD28">
            <v>74930</v>
          </cell>
          <cell r="AE28">
            <v>35606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11559</v>
          </cell>
          <cell r="AL28">
            <v>8679</v>
          </cell>
          <cell r="AM28">
            <v>44000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I28">
            <v>0</v>
          </cell>
          <cell r="BJ28">
            <v>127933</v>
          </cell>
          <cell r="BK28">
            <v>0</v>
          </cell>
          <cell r="BL28">
            <v>0</v>
          </cell>
          <cell r="BM28">
            <v>0</v>
          </cell>
          <cell r="BN28">
            <v>531842</v>
          </cell>
          <cell r="BO28">
            <v>659775</v>
          </cell>
          <cell r="BP28">
            <v>0</v>
          </cell>
          <cell r="BQ28">
            <v>659775</v>
          </cell>
          <cell r="CB28">
            <v>0</v>
          </cell>
          <cell r="CD28">
            <v>659775</v>
          </cell>
        </row>
        <row r="29">
          <cell r="A29" t="str">
            <v>JE#  P070  Interest Expense-Repurchase (TWUS only)</v>
          </cell>
          <cell r="B29" t="str">
            <v>P070</v>
          </cell>
          <cell r="D29" t="str">
            <v>Separate Schedule - B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CB29">
            <v>0</v>
          </cell>
          <cell r="CD29">
            <v>0</v>
          </cell>
        </row>
        <row r="30">
          <cell r="A30" t="str">
            <v>Other Perms (Skybox seats)</v>
          </cell>
          <cell r="B30" t="str">
            <v>P004</v>
          </cell>
          <cell r="D30" t="str">
            <v>Separate Schedule - B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146648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1547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I30">
            <v>146648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146648</v>
          </cell>
          <cell r="BP30">
            <v>1547</v>
          </cell>
          <cell r="BQ30">
            <v>148195</v>
          </cell>
          <cell r="CB30">
            <v>0</v>
          </cell>
          <cell r="CD30">
            <v>148195</v>
          </cell>
        </row>
        <row r="31">
          <cell r="A31" t="str">
            <v>Medicare Subsidy</v>
          </cell>
          <cell r="B31" t="str">
            <v>P076</v>
          </cell>
          <cell r="D31" t="str">
            <v>Separate Schedule - A1</v>
          </cell>
          <cell r="F31">
            <v>-434067.2443367932</v>
          </cell>
          <cell r="G31">
            <v>-845966.2859973039</v>
          </cell>
          <cell r="H31">
            <v>-985.31366087444587</v>
          </cell>
          <cell r="I31">
            <v>0</v>
          </cell>
          <cell r="J31">
            <v>-98539.494247800088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-134014.39855499371</v>
          </cell>
          <cell r="R31">
            <v>-15273.716436946495</v>
          </cell>
          <cell r="S31">
            <v>-1070640.3788998874</v>
          </cell>
          <cell r="T31">
            <v>-147809.69293616436</v>
          </cell>
          <cell r="U31">
            <v>-79324.523167355816</v>
          </cell>
          <cell r="V31">
            <v>-358192.67367589055</v>
          </cell>
          <cell r="W31">
            <v>-5911.8819652466746</v>
          </cell>
          <cell r="X31">
            <v>0</v>
          </cell>
          <cell r="Y31">
            <v>0</v>
          </cell>
          <cell r="Z31">
            <v>-342426.75197297108</v>
          </cell>
          <cell r="AA31">
            <v>-337499.28053967044</v>
          </cell>
          <cell r="AB31">
            <v>-79817.631562257244</v>
          </cell>
          <cell r="AC31">
            <v>-6404.9903601480937</v>
          </cell>
          <cell r="AD31">
            <v>-658247.32571554685</v>
          </cell>
          <cell r="AE31">
            <v>-87701.043978181187</v>
          </cell>
          <cell r="AF31">
            <v>0</v>
          </cell>
          <cell r="AG31">
            <v>0</v>
          </cell>
          <cell r="AH31">
            <v>0</v>
          </cell>
          <cell r="AI31">
            <v>-9360.9313427714314</v>
          </cell>
          <cell r="AJ31">
            <v>0</v>
          </cell>
          <cell r="AK31">
            <v>-157663.73267383719</v>
          </cell>
          <cell r="AL31">
            <v>-21186.501531121561</v>
          </cell>
          <cell r="AM31">
            <v>-12317.775454323157</v>
          </cell>
          <cell r="AN31">
            <v>-11331.558664520322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-12316.872325394768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I31">
            <v>-9360.9313427714314</v>
          </cell>
          <cell r="BJ31">
            <v>-845966.2859973039</v>
          </cell>
          <cell r="BK31">
            <v>-985.31366087444587</v>
          </cell>
          <cell r="BL31">
            <v>-12316.872325394768</v>
          </cell>
          <cell r="BM31">
            <v>0</v>
          </cell>
          <cell r="BN31">
            <v>-4058370.5966736563</v>
          </cell>
          <cell r="BO31">
            <v>-4927000.0000000009</v>
          </cell>
          <cell r="BP31">
            <v>0</v>
          </cell>
          <cell r="BQ31">
            <v>-4927000.0000000009</v>
          </cell>
          <cell r="CB31">
            <v>0</v>
          </cell>
          <cell r="CD31">
            <v>-4927000.0000000009</v>
          </cell>
        </row>
        <row r="32">
          <cell r="A32" t="str">
            <v>Foreign Losses Not Benefited (Valuation Allow)</v>
          </cell>
          <cell r="B32" t="str">
            <v>P998</v>
          </cell>
          <cell r="D32" t="str">
            <v>Separate Schedule - B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CB32">
            <v>0</v>
          </cell>
          <cell r="CD32">
            <v>0</v>
          </cell>
        </row>
        <row r="33">
          <cell r="A33" t="str">
            <v>Domestic Dividend Received Deduction</v>
          </cell>
          <cell r="B33" t="str">
            <v>P997</v>
          </cell>
          <cell r="D33" t="str">
            <v>Separate Schedule - B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CB33">
            <v>0</v>
          </cell>
          <cell r="CD33">
            <v>0</v>
          </cell>
        </row>
        <row r="34">
          <cell r="A34" t="str">
            <v>Goodwill Impairment</v>
          </cell>
          <cell r="B34" t="str">
            <v>P996</v>
          </cell>
          <cell r="D34" t="str">
            <v>Separate Schedule - B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CB34">
            <v>0</v>
          </cell>
          <cell r="CD34">
            <v>0</v>
          </cell>
        </row>
        <row r="35">
          <cell r="A35" t="str">
            <v>Div Dec PS-Out w/ mandatory redemption (Acct# 860040) - Pref Div</v>
          </cell>
          <cell r="B35" t="str">
            <v>P055</v>
          </cell>
          <cell r="D35" t="str">
            <v>TB</v>
          </cell>
          <cell r="F35">
            <v>0</v>
          </cell>
          <cell r="G35">
            <v>38288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381150</v>
          </cell>
          <cell r="R35">
            <v>0</v>
          </cell>
          <cell r="S35">
            <v>1061727</v>
          </cell>
          <cell r="T35">
            <v>0</v>
          </cell>
          <cell r="U35">
            <v>16093</v>
          </cell>
          <cell r="V35">
            <v>180507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13800</v>
          </cell>
          <cell r="AB35">
            <v>0</v>
          </cell>
          <cell r="AC35">
            <v>0</v>
          </cell>
          <cell r="AD35">
            <v>235669</v>
          </cell>
          <cell r="AE35">
            <v>95712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I35">
            <v>0</v>
          </cell>
          <cell r="BJ35">
            <v>38288</v>
          </cell>
          <cell r="BK35">
            <v>0</v>
          </cell>
          <cell r="BL35">
            <v>0</v>
          </cell>
          <cell r="BM35">
            <v>0</v>
          </cell>
          <cell r="BN35">
            <v>1984658</v>
          </cell>
          <cell r="BO35">
            <v>2022946</v>
          </cell>
          <cell r="BP35">
            <v>0</v>
          </cell>
          <cell r="BQ35">
            <v>2022946</v>
          </cell>
          <cell r="CB35">
            <v>0</v>
          </cell>
          <cell r="CD35">
            <v>2022946</v>
          </cell>
        </row>
        <row r="36">
          <cell r="A36" t="str">
            <v>Other Permanent Items (IPO costs)</v>
          </cell>
          <cell r="B36" t="str">
            <v>x</v>
          </cell>
          <cell r="D36" t="str">
            <v>Separate Schedule - B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20032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20032</v>
          </cell>
          <cell r="BQ36">
            <v>20032</v>
          </cell>
          <cell r="CB36">
            <v>0</v>
          </cell>
          <cell r="CD36">
            <v>20032</v>
          </cell>
        </row>
        <row r="37">
          <cell r="A37" t="str">
            <v>FAS 123 (r) Perm Item</v>
          </cell>
          <cell r="B37" t="str">
            <v>x</v>
          </cell>
          <cell r="D37" t="str">
            <v>Separate Schedule - B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A38" t="str">
            <v>FAS 123 (r) Perm Item</v>
          </cell>
          <cell r="B38" t="str">
            <v>x</v>
          </cell>
          <cell r="D38" t="str">
            <v>Separate Schedule - B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</row>
        <row r="39">
          <cell r="A39" t="str">
            <v>Transaction Costs</v>
          </cell>
          <cell r="B39" t="str">
            <v>x</v>
          </cell>
          <cell r="D39" t="str">
            <v>Separate Schedule - B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</row>
        <row r="40">
          <cell r="A40" t="str">
            <v>MTBE Settlement</v>
          </cell>
          <cell r="B40" t="str">
            <v>x</v>
          </cell>
          <cell r="D40" t="str">
            <v>Separate Schedule - B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CB40">
            <v>0</v>
          </cell>
          <cell r="CD40">
            <v>0</v>
          </cell>
        </row>
        <row r="41">
          <cell r="A41" t="str">
            <v>Loss Contracts</v>
          </cell>
          <cell r="B41" t="str">
            <v>x</v>
          </cell>
          <cell r="D41" t="str">
            <v>Separate Schedule - B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CB41">
            <v>0</v>
          </cell>
          <cell r="CD41">
            <v>0</v>
          </cell>
        </row>
        <row r="42">
          <cell r="A42" t="str">
            <v>Felton Book Loss - attributable to wo of GW</v>
          </cell>
          <cell r="B42" t="str">
            <v>x</v>
          </cell>
          <cell r="D42" t="str">
            <v>Separate Schedule - B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CB42">
            <v>0</v>
          </cell>
          <cell r="CD42">
            <v>0</v>
          </cell>
        </row>
        <row r="43">
          <cell r="A43" t="str">
            <v xml:space="preserve"> OPEN - (Insert Description)</v>
          </cell>
          <cell r="B43" t="str">
            <v>x</v>
          </cell>
          <cell r="D43" t="str">
            <v>Separate Schedule - B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CB43">
            <v>0</v>
          </cell>
          <cell r="CD43">
            <v>0</v>
          </cell>
        </row>
        <row r="45">
          <cell r="A45" t="str">
            <v>Total Permanent Differences</v>
          </cell>
          <cell r="F45">
            <v>-11202.744336793199</v>
          </cell>
          <cell r="G45">
            <v>-529648.7859973039</v>
          </cell>
          <cell r="H45">
            <v>1147.6863391255542</v>
          </cell>
          <cell r="I45">
            <v>18131</v>
          </cell>
          <cell r="J45">
            <v>-69164.494247800088</v>
          </cell>
          <cell r="K45">
            <v>0</v>
          </cell>
          <cell r="L45">
            <v>5179.5</v>
          </cell>
          <cell r="M45">
            <v>16683</v>
          </cell>
          <cell r="N45">
            <v>4717.5</v>
          </cell>
          <cell r="O45">
            <v>0</v>
          </cell>
          <cell r="P45">
            <v>0</v>
          </cell>
          <cell r="Q45">
            <v>340295.10144500632</v>
          </cell>
          <cell r="R45">
            <v>-8255.2164369464954</v>
          </cell>
          <cell r="S45">
            <v>358602.62110011256</v>
          </cell>
          <cell r="T45">
            <v>-118715.19293616436</v>
          </cell>
          <cell r="U45">
            <v>-45681.023167355816</v>
          </cell>
          <cell r="V45">
            <v>-85220.173675890546</v>
          </cell>
          <cell r="W45">
            <v>-3724.8819652466746</v>
          </cell>
          <cell r="X45">
            <v>0</v>
          </cell>
          <cell r="Y45">
            <v>0</v>
          </cell>
          <cell r="Z45">
            <v>-125472.75197297108</v>
          </cell>
          <cell r="AA45">
            <v>-197791.78053967044</v>
          </cell>
          <cell r="AB45">
            <v>-32903.631562257244</v>
          </cell>
          <cell r="AC45">
            <v>-3884.9903601480937</v>
          </cell>
          <cell r="AD45">
            <v>-230181.82571554685</v>
          </cell>
          <cell r="AE45">
            <v>54745.956021818813</v>
          </cell>
          <cell r="AF45">
            <v>1282</v>
          </cell>
          <cell r="AG45">
            <v>3724</v>
          </cell>
          <cell r="AH45">
            <v>0</v>
          </cell>
          <cell r="AI45">
            <v>233936.06865722858</v>
          </cell>
          <cell r="AJ45">
            <v>0</v>
          </cell>
          <cell r="AK45">
            <v>1014.2673261628079</v>
          </cell>
          <cell r="AL45">
            <v>2843.4984688784389</v>
          </cell>
          <cell r="AM45">
            <v>65662.724545676843</v>
          </cell>
          <cell r="AN45">
            <v>-7417.5586645203221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22336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191592.12767460523</v>
          </cell>
          <cell r="BA45">
            <v>647024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I45">
            <v>233936.06865722858</v>
          </cell>
          <cell r="BJ45">
            <v>-529648.7859973039</v>
          </cell>
          <cell r="BK45">
            <v>19278.686339125554</v>
          </cell>
          <cell r="BL45">
            <v>196309.62767460523</v>
          </cell>
          <cell r="BM45">
            <v>3724</v>
          </cell>
          <cell r="BN45">
            <v>-70971.596673656255</v>
          </cell>
          <cell r="BO45">
            <v>-147372.00000000093</v>
          </cell>
          <cell r="BP45">
            <v>647024</v>
          </cell>
          <cell r="BQ45">
            <v>499651.99999999907</v>
          </cell>
          <cell r="BR45" t="str">
            <v>CF OK</v>
          </cell>
          <cell r="BT45">
            <v>-1.862645149230957E-9</v>
          </cell>
          <cell r="BY45">
            <v>0</v>
          </cell>
          <cell r="BZ45">
            <v>0</v>
          </cell>
          <cell r="CB45">
            <v>0</v>
          </cell>
          <cell r="CD45">
            <v>499651.99999999907</v>
          </cell>
          <cell r="CE45" t="e">
            <v>#REF!</v>
          </cell>
        </row>
        <row r="47">
          <cell r="A47" t="str">
            <v>Temporary Differences:</v>
          </cell>
        </row>
        <row r="48">
          <cell r="A48" t="str">
            <v>JE#  T005  Uncollectible Accounts</v>
          </cell>
          <cell r="B48" t="str">
            <v>T005</v>
          </cell>
          <cell r="C48" t="str">
            <v>A7.60</v>
          </cell>
          <cell r="D48" t="str">
            <v>TB</v>
          </cell>
          <cell r="F48">
            <v>160</v>
          </cell>
          <cell r="G48">
            <v>-71188</v>
          </cell>
          <cell r="H48">
            <v>0</v>
          </cell>
          <cell r="I48">
            <v>-82086</v>
          </cell>
          <cell r="J48">
            <v>104325</v>
          </cell>
          <cell r="K48">
            <v>0</v>
          </cell>
          <cell r="L48">
            <v>11233</v>
          </cell>
          <cell r="M48">
            <v>151762</v>
          </cell>
          <cell r="N48">
            <v>0</v>
          </cell>
          <cell r="O48">
            <v>0</v>
          </cell>
          <cell r="P48">
            <v>-831</v>
          </cell>
          <cell r="Q48">
            <v>171444</v>
          </cell>
          <cell r="R48">
            <v>-4111</v>
          </cell>
          <cell r="S48">
            <v>-923609</v>
          </cell>
          <cell r="T48">
            <v>-61786</v>
          </cell>
          <cell r="U48">
            <v>116476</v>
          </cell>
          <cell r="V48">
            <v>14267</v>
          </cell>
          <cell r="W48">
            <v>4952</v>
          </cell>
          <cell r="X48">
            <v>0</v>
          </cell>
          <cell r="Y48">
            <v>0</v>
          </cell>
          <cell r="Z48">
            <v>110790</v>
          </cell>
          <cell r="AA48">
            <v>117081</v>
          </cell>
          <cell r="AB48">
            <v>-21056</v>
          </cell>
          <cell r="AC48">
            <v>954</v>
          </cell>
          <cell r="AD48">
            <v>-44284</v>
          </cell>
          <cell r="AE48">
            <v>-9224</v>
          </cell>
          <cell r="AF48">
            <v>0</v>
          </cell>
          <cell r="AG48">
            <v>-11841</v>
          </cell>
          <cell r="AH48">
            <v>0</v>
          </cell>
          <cell r="AI48">
            <v>0</v>
          </cell>
          <cell r="AJ48">
            <v>0</v>
          </cell>
          <cell r="AK48">
            <v>180704</v>
          </cell>
          <cell r="AL48">
            <v>-30554</v>
          </cell>
          <cell r="AM48">
            <v>-159766</v>
          </cell>
          <cell r="AN48">
            <v>14725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-29476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-260257</v>
          </cell>
          <cell r="BA48">
            <v>16474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I48">
            <v>0</v>
          </cell>
          <cell r="BJ48">
            <v>-71188</v>
          </cell>
          <cell r="BK48">
            <v>-82086</v>
          </cell>
          <cell r="BL48">
            <v>-260257</v>
          </cell>
          <cell r="BM48">
            <v>-11841</v>
          </cell>
          <cell r="BN48">
            <v>-285824</v>
          </cell>
          <cell r="BO48">
            <v>-711196</v>
          </cell>
          <cell r="BP48">
            <v>16474</v>
          </cell>
          <cell r="BQ48">
            <v>-694722</v>
          </cell>
          <cell r="BR48" t="str">
            <v>CF OK</v>
          </cell>
          <cell r="BT48">
            <v>0</v>
          </cell>
          <cell r="CB48">
            <v>0</v>
          </cell>
          <cell r="CD48">
            <v>-694722</v>
          </cell>
          <cell r="CE48" t="e">
            <v>#REF!</v>
          </cell>
        </row>
        <row r="49">
          <cell r="A49" t="str">
            <v>JE#  T010  Vacation Pay</v>
          </cell>
          <cell r="B49" t="str">
            <v>T010</v>
          </cell>
          <cell r="C49" t="str">
            <v>A7.10</v>
          </cell>
          <cell r="D49" t="str">
            <v>Separate Schedule - C</v>
          </cell>
          <cell r="F49">
            <v>52781.041666666672</v>
          </cell>
          <cell r="G49">
            <v>553044.79166666674</v>
          </cell>
          <cell r="H49">
            <v>0</v>
          </cell>
          <cell r="I49">
            <v>0</v>
          </cell>
          <cell r="J49">
            <v>1623.75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-682.29166666666674</v>
          </cell>
          <cell r="R49">
            <v>1588.125</v>
          </cell>
          <cell r="S49">
            <v>-3323.9583333333335</v>
          </cell>
          <cell r="T49">
            <v>-38.333333333333336</v>
          </cell>
          <cell r="U49">
            <v>-6306.25</v>
          </cell>
          <cell r="V49">
            <v>14396.041666666668</v>
          </cell>
          <cell r="W49">
            <v>-151.25</v>
          </cell>
          <cell r="X49">
            <v>0</v>
          </cell>
          <cell r="Y49">
            <v>0</v>
          </cell>
          <cell r="Z49">
            <v>105700.20833333334</v>
          </cell>
          <cell r="AA49">
            <v>-2127.0833333333335</v>
          </cell>
          <cell r="AB49">
            <v>6614.791666666667</v>
          </cell>
          <cell r="AC49">
            <v>-56.875</v>
          </cell>
          <cell r="AD49">
            <v>5418.9583333333339</v>
          </cell>
          <cell r="AE49">
            <v>1613.5416666666667</v>
          </cell>
          <cell r="AF49">
            <v>0</v>
          </cell>
          <cell r="AG49">
            <v>654.58333333333337</v>
          </cell>
          <cell r="AH49">
            <v>0</v>
          </cell>
          <cell r="AI49">
            <v>12098.958333333334</v>
          </cell>
          <cell r="AJ49">
            <v>0</v>
          </cell>
          <cell r="AK49">
            <v>192618.95833333334</v>
          </cell>
          <cell r="AL49">
            <v>-1568.5416666666667</v>
          </cell>
          <cell r="AM49">
            <v>-923.33333333333337</v>
          </cell>
          <cell r="AN49">
            <v>1384.1666666666667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-97979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72146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I49">
            <v>12098.958333333334</v>
          </cell>
          <cell r="BJ49">
            <v>553044.79166666674</v>
          </cell>
          <cell r="BK49">
            <v>0</v>
          </cell>
          <cell r="BL49">
            <v>72146</v>
          </cell>
          <cell r="BM49">
            <v>654.58333333333337</v>
          </cell>
          <cell r="BN49">
            <v>270582.66666666669</v>
          </cell>
          <cell r="BO49">
            <v>908527.00000000023</v>
          </cell>
          <cell r="BP49">
            <v>0</v>
          </cell>
          <cell r="BQ49">
            <v>908527.00000000023</v>
          </cell>
          <cell r="BR49" t="str">
            <v>CF OK</v>
          </cell>
          <cell r="BT49">
            <v>0</v>
          </cell>
          <cell r="CB49">
            <v>0</v>
          </cell>
          <cell r="CD49">
            <v>908527.00000000023</v>
          </cell>
          <cell r="CE49" t="e">
            <v>#REF!</v>
          </cell>
        </row>
        <row r="50">
          <cell r="A50" t="str">
            <v>JE#  T015  Customer Deposits</v>
          </cell>
          <cell r="B50" t="str">
            <v>T015</v>
          </cell>
          <cell r="C50" t="str">
            <v>A7.25</v>
          </cell>
          <cell r="D50" t="str">
            <v>TB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 t="str">
            <v>CF OK</v>
          </cell>
          <cell r="BT50">
            <v>0</v>
          </cell>
          <cell r="CB50">
            <v>0</v>
          </cell>
          <cell r="CD50">
            <v>0</v>
          </cell>
          <cell r="CE50" t="e">
            <v>#REF!</v>
          </cell>
        </row>
        <row r="51">
          <cell r="A51" t="str">
            <v>JE#  T020  Taxable Contributions (CIAC 1)</v>
          </cell>
          <cell r="B51" t="str">
            <v>T020</v>
          </cell>
          <cell r="C51" t="str">
            <v>A1.10</v>
          </cell>
          <cell r="D51" t="str">
            <v>TB</v>
          </cell>
          <cell r="F51">
            <v>0</v>
          </cell>
          <cell r="G51">
            <v>-2330071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-6040</v>
          </cell>
          <cell r="Q51">
            <v>-1266259</v>
          </cell>
          <cell r="R51">
            <v>-14367</v>
          </cell>
          <cell r="S51">
            <v>-3241808</v>
          </cell>
          <cell r="T51">
            <v>-56100</v>
          </cell>
          <cell r="U51">
            <v>-561562</v>
          </cell>
          <cell r="V51">
            <v>0</v>
          </cell>
          <cell r="W51">
            <v>-50815</v>
          </cell>
          <cell r="X51">
            <v>0</v>
          </cell>
          <cell r="Y51">
            <v>0</v>
          </cell>
          <cell r="Z51">
            <v>-2052199</v>
          </cell>
          <cell r="AA51">
            <v>63000</v>
          </cell>
          <cell r="AB51">
            <v>0</v>
          </cell>
          <cell r="AC51">
            <v>-902</v>
          </cell>
          <cell r="AD51">
            <v>3304499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-1333278</v>
          </cell>
          <cell r="AL51">
            <v>-59985</v>
          </cell>
          <cell r="AM51">
            <v>-5035071</v>
          </cell>
          <cell r="AN51">
            <v>-65572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I51">
            <v>0</v>
          </cell>
          <cell r="BJ51">
            <v>-2330071</v>
          </cell>
          <cell r="BK51">
            <v>0</v>
          </cell>
          <cell r="BL51">
            <v>0</v>
          </cell>
          <cell r="BM51">
            <v>0</v>
          </cell>
          <cell r="BN51">
            <v>-10376459</v>
          </cell>
          <cell r="BO51">
            <v>-12706530</v>
          </cell>
          <cell r="BP51">
            <v>0</v>
          </cell>
          <cell r="BQ51">
            <v>-12706530</v>
          </cell>
          <cell r="BR51" t="str">
            <v>CF OK</v>
          </cell>
          <cell r="BT51">
            <v>0</v>
          </cell>
          <cell r="CB51">
            <v>0</v>
          </cell>
          <cell r="CD51">
            <v>-12706530</v>
          </cell>
          <cell r="CE51" t="e">
            <v>#REF!</v>
          </cell>
        </row>
        <row r="52">
          <cell r="A52" t="str">
            <v>JE#  T021  Deferred Revenue - CIAC (CIAC 2)</v>
          </cell>
          <cell r="B52" t="str">
            <v>T021</v>
          </cell>
          <cell r="C52" t="str">
            <v>A1.10</v>
          </cell>
          <cell r="D52" t="str">
            <v>TB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-29506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107446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70629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148569</v>
          </cell>
          <cell r="BO52">
            <v>148569</v>
          </cell>
          <cell r="BP52">
            <v>0</v>
          </cell>
          <cell r="BQ52">
            <v>148569</v>
          </cell>
          <cell r="BR52" t="str">
            <v>CF OK</v>
          </cell>
          <cell r="BT52">
            <v>0</v>
          </cell>
          <cell r="CB52">
            <v>0</v>
          </cell>
          <cell r="CD52">
            <v>148569</v>
          </cell>
          <cell r="CE52" t="e">
            <v>#REF!</v>
          </cell>
        </row>
        <row r="53">
          <cell r="A53" t="str">
            <v>JE#  T025  Taxable Advances (CAC 1)</v>
          </cell>
          <cell r="B53" t="str">
            <v>T025</v>
          </cell>
          <cell r="C53" t="str">
            <v>A1.10</v>
          </cell>
          <cell r="D53" t="str">
            <v>TB</v>
          </cell>
          <cell r="F53">
            <v>0</v>
          </cell>
          <cell r="G53">
            <v>2770258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-6427</v>
          </cell>
          <cell r="S53">
            <v>325576</v>
          </cell>
          <cell r="T53">
            <v>-85268</v>
          </cell>
          <cell r="U53">
            <v>30</v>
          </cell>
          <cell r="V53">
            <v>8747</v>
          </cell>
          <cell r="W53">
            <v>0</v>
          </cell>
          <cell r="X53">
            <v>0</v>
          </cell>
          <cell r="Y53">
            <v>0</v>
          </cell>
          <cell r="Z53">
            <v>-556996</v>
          </cell>
          <cell r="AA53">
            <v>0</v>
          </cell>
          <cell r="AB53">
            <v>0</v>
          </cell>
          <cell r="AC53">
            <v>0</v>
          </cell>
          <cell r="AD53">
            <v>-5250019</v>
          </cell>
          <cell r="AE53">
            <v>6900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-66414</v>
          </cell>
          <cell r="AL53">
            <v>0</v>
          </cell>
          <cell r="AM53">
            <v>148217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I53">
            <v>0</v>
          </cell>
          <cell r="BJ53">
            <v>2770258</v>
          </cell>
          <cell r="BK53">
            <v>0</v>
          </cell>
          <cell r="BL53">
            <v>0</v>
          </cell>
          <cell r="BM53">
            <v>0</v>
          </cell>
          <cell r="BN53">
            <v>-5475654</v>
          </cell>
          <cell r="BO53">
            <v>-2705396</v>
          </cell>
          <cell r="BP53">
            <v>0</v>
          </cell>
          <cell r="BQ53">
            <v>-2705396</v>
          </cell>
          <cell r="BR53" t="str">
            <v>CF OK</v>
          </cell>
          <cell r="BT53">
            <v>0</v>
          </cell>
          <cell r="CB53">
            <v>0</v>
          </cell>
          <cell r="CD53">
            <v>-2705396</v>
          </cell>
          <cell r="CE53" t="e">
            <v>#REF!</v>
          </cell>
        </row>
        <row r="54">
          <cell r="A54" t="str">
            <v>JE#  T026  Deferred Revenue - AIC (CAC 2)</v>
          </cell>
          <cell r="B54" t="str">
            <v>T026</v>
          </cell>
          <cell r="C54" t="str">
            <v>A1.10</v>
          </cell>
          <cell r="D54" t="str">
            <v>TB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 t="str">
            <v>CF OK</v>
          </cell>
          <cell r="BT54">
            <v>0</v>
          </cell>
          <cell r="CB54">
            <v>0</v>
          </cell>
          <cell r="CD54">
            <v>0</v>
          </cell>
          <cell r="CE54" t="e">
            <v>#REF!</v>
          </cell>
        </row>
        <row r="55">
          <cell r="A55" t="str">
            <v>JE#  T030  Merger Expense</v>
          </cell>
          <cell r="B55" t="str">
            <v>T030</v>
          </cell>
          <cell r="C55" t="str">
            <v>L5.10</v>
          </cell>
          <cell r="D55" t="str">
            <v>TB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 t="str">
            <v>CF OK</v>
          </cell>
          <cell r="BT55">
            <v>0</v>
          </cell>
          <cell r="CB55">
            <v>0</v>
          </cell>
          <cell r="CD55">
            <v>0</v>
          </cell>
          <cell r="CE55" t="e">
            <v>#REF!</v>
          </cell>
        </row>
        <row r="56">
          <cell r="A56" t="str">
            <v>JE#  T040  Rate Case Expense</v>
          </cell>
          <cell r="B56" t="str">
            <v>T040</v>
          </cell>
          <cell r="C56" t="str">
            <v>L5.10</v>
          </cell>
          <cell r="D56" t="str">
            <v>TB</v>
          </cell>
          <cell r="F56">
            <v>0</v>
          </cell>
          <cell r="G56">
            <v>-1044678</v>
          </cell>
          <cell r="H56">
            <v>0</v>
          </cell>
          <cell r="I56">
            <v>0</v>
          </cell>
          <cell r="J56">
            <v>-10630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-41864</v>
          </cell>
          <cell r="R56">
            <v>45368</v>
          </cell>
          <cell r="S56">
            <v>6576</v>
          </cell>
          <cell r="T56">
            <v>-442666</v>
          </cell>
          <cell r="U56">
            <v>-158595</v>
          </cell>
          <cell r="V56">
            <v>15741</v>
          </cell>
          <cell r="W56">
            <v>-12579</v>
          </cell>
          <cell r="X56">
            <v>0</v>
          </cell>
          <cell r="Y56">
            <v>0</v>
          </cell>
          <cell r="Z56">
            <v>406853</v>
          </cell>
          <cell r="AA56">
            <v>393355</v>
          </cell>
          <cell r="AB56">
            <v>267977</v>
          </cell>
          <cell r="AC56">
            <v>0</v>
          </cell>
          <cell r="AD56">
            <v>201900</v>
          </cell>
          <cell r="AE56">
            <v>330622</v>
          </cell>
          <cell r="AF56">
            <v>0</v>
          </cell>
          <cell r="AG56">
            <v>39316</v>
          </cell>
          <cell r="AH56">
            <v>0</v>
          </cell>
          <cell r="AI56">
            <v>0</v>
          </cell>
          <cell r="AJ56">
            <v>0</v>
          </cell>
          <cell r="AK56">
            <v>447065</v>
          </cell>
          <cell r="AL56">
            <v>116493</v>
          </cell>
          <cell r="AM56">
            <v>-252161</v>
          </cell>
          <cell r="AN56">
            <v>51762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I56">
            <v>0</v>
          </cell>
          <cell r="BJ56">
            <v>-1044678</v>
          </cell>
          <cell r="BK56">
            <v>0</v>
          </cell>
          <cell r="BL56">
            <v>0</v>
          </cell>
          <cell r="BM56">
            <v>39316</v>
          </cell>
          <cell r="BN56">
            <v>1365217</v>
          </cell>
          <cell r="BO56">
            <v>359855</v>
          </cell>
          <cell r="BP56">
            <v>0</v>
          </cell>
          <cell r="BQ56">
            <v>359855</v>
          </cell>
          <cell r="BR56" t="str">
            <v>CF OK</v>
          </cell>
          <cell r="BT56">
            <v>0</v>
          </cell>
          <cell r="CB56">
            <v>0</v>
          </cell>
          <cell r="CD56">
            <v>359855</v>
          </cell>
          <cell r="CE56" t="e">
            <v>#REF!</v>
          </cell>
        </row>
        <row r="57">
          <cell r="A57" t="str">
            <v>JE#  T045  Depreciation and Amortization (Depr 1)</v>
          </cell>
          <cell r="B57" t="str">
            <v>T045</v>
          </cell>
          <cell r="C57" t="str">
            <v>L1.20</v>
          </cell>
          <cell r="D57" t="str">
            <v>Separate Schedule - D</v>
          </cell>
          <cell r="F57">
            <v>-1176127.3467228301</v>
          </cell>
          <cell r="G57">
            <v>-45973663.037301168</v>
          </cell>
          <cell r="H57">
            <v>-386591.6529000001</v>
          </cell>
          <cell r="I57">
            <v>51433</v>
          </cell>
          <cell r="J57">
            <v>-5849514.7230383474</v>
          </cell>
          <cell r="K57">
            <v>0</v>
          </cell>
          <cell r="L57">
            <v>1125939</v>
          </cell>
          <cell r="M57">
            <v>1674614</v>
          </cell>
          <cell r="N57">
            <v>0</v>
          </cell>
          <cell r="O57">
            <v>0</v>
          </cell>
          <cell r="P57">
            <v>-828.38999999999942</v>
          </cell>
          <cell r="Q57">
            <v>-118537455.67582993</v>
          </cell>
          <cell r="R57">
            <v>-287535.10957312363</v>
          </cell>
          <cell r="S57">
            <v>-143545886.03665456</v>
          </cell>
          <cell r="T57">
            <v>-4518329.4473436344</v>
          </cell>
          <cell r="U57">
            <v>-4146010.2375802817</v>
          </cell>
          <cell r="V57">
            <v>-12400586.220186215</v>
          </cell>
          <cell r="W57">
            <v>-216640.13191499992</v>
          </cell>
          <cell r="X57">
            <v>0</v>
          </cell>
          <cell r="Y57">
            <v>0</v>
          </cell>
          <cell r="Z57">
            <v>-15710225.307449333</v>
          </cell>
          <cell r="AA57">
            <v>-16160888.847976729</v>
          </cell>
          <cell r="AB57">
            <v>-3054416.7974644573</v>
          </cell>
          <cell r="AC57">
            <v>74929.531395000027</v>
          </cell>
          <cell r="AD57">
            <v>-49343278.707033575</v>
          </cell>
          <cell r="AE57">
            <v>-4768600.3551773634</v>
          </cell>
          <cell r="AF57">
            <v>-1316869.6606000001</v>
          </cell>
          <cell r="AG57">
            <v>-370772.83376499999</v>
          </cell>
          <cell r="AH57">
            <v>0</v>
          </cell>
          <cell r="AI57">
            <v>6931.78</v>
          </cell>
          <cell r="AJ57">
            <v>0</v>
          </cell>
          <cell r="AK57">
            <v>-12180000.012425084</v>
          </cell>
          <cell r="AL57">
            <v>-774190.8138752575</v>
          </cell>
          <cell r="AM57">
            <v>-1120641.8477558382</v>
          </cell>
          <cell r="AN57">
            <v>-2110171.8263849998</v>
          </cell>
          <cell r="AO57">
            <v>0</v>
          </cell>
          <cell r="AP57">
            <v>0</v>
          </cell>
          <cell r="AQ57">
            <v>0</v>
          </cell>
          <cell r="AR57">
            <v>-60117.18</v>
          </cell>
          <cell r="AS57">
            <v>0</v>
          </cell>
          <cell r="AT57">
            <v>0</v>
          </cell>
          <cell r="AU57">
            <v>-50049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-841707</v>
          </cell>
          <cell r="BA57">
            <v>-313413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I57">
            <v>6931.78</v>
          </cell>
          <cell r="BJ57">
            <v>-45973663.037301168</v>
          </cell>
          <cell r="BK57">
            <v>-335158.6529000001</v>
          </cell>
          <cell r="BL57">
            <v>-841707</v>
          </cell>
          <cell r="BM57">
            <v>-370772.83376499999</v>
          </cell>
          <cell r="BN57">
            <v>-394452881.14359158</v>
          </cell>
          <cell r="BO57">
            <v>-441967250.88755774</v>
          </cell>
          <cell r="BP57">
            <v>-313413</v>
          </cell>
          <cell r="BQ57">
            <v>-442280663.88755774</v>
          </cell>
          <cell r="BR57" t="str">
            <v>CF OK</v>
          </cell>
          <cell r="BT57">
            <v>0</v>
          </cell>
          <cell r="CB57">
            <v>0</v>
          </cell>
          <cell r="CD57">
            <v>-442280663.88755774</v>
          </cell>
          <cell r="CE57" t="e">
            <v>#REF!</v>
          </cell>
        </row>
        <row r="58">
          <cell r="A58" t="str">
            <v>JE#  T046  Post In-Service Depreciation Expense (Depr 2)</v>
          </cell>
          <cell r="B58" t="str">
            <v>T046</v>
          </cell>
          <cell r="C58" t="str">
            <v>L1.10</v>
          </cell>
          <cell r="D58" t="str">
            <v>TB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-436011</v>
          </cell>
          <cell r="AB58">
            <v>0</v>
          </cell>
          <cell r="AC58">
            <v>0</v>
          </cell>
          <cell r="AD58">
            <v>0</v>
          </cell>
          <cell r="AE58">
            <v>5606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-1231972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-1662377</v>
          </cell>
          <cell r="BO58">
            <v>-1662377</v>
          </cell>
          <cell r="BP58">
            <v>0</v>
          </cell>
          <cell r="BQ58">
            <v>-1662377</v>
          </cell>
          <cell r="BR58" t="str">
            <v>CF OK</v>
          </cell>
          <cell r="BT58">
            <v>0</v>
          </cell>
          <cell r="CB58">
            <v>0</v>
          </cell>
          <cell r="CD58">
            <v>-1662377</v>
          </cell>
          <cell r="CE58" t="e">
            <v>#REF!</v>
          </cell>
        </row>
        <row r="59">
          <cell r="A59" t="str">
            <v>JE#  T048  Reg Asset - AFUDC Debt (Depr 4)</v>
          </cell>
          <cell r="B59" t="str">
            <v>T048</v>
          </cell>
          <cell r="C59" t="str">
            <v>L1.20</v>
          </cell>
          <cell r="D59" t="str">
            <v>TB</v>
          </cell>
          <cell r="F59">
            <v>0</v>
          </cell>
          <cell r="G59">
            <v>93036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6900</v>
          </cell>
          <cell r="R59">
            <v>85</v>
          </cell>
          <cell r="S59">
            <v>167280</v>
          </cell>
          <cell r="T59">
            <v>1176</v>
          </cell>
          <cell r="U59">
            <v>0</v>
          </cell>
          <cell r="V59">
            <v>1179</v>
          </cell>
          <cell r="W59">
            <v>0</v>
          </cell>
          <cell r="X59">
            <v>0</v>
          </cell>
          <cell r="Y59">
            <v>0</v>
          </cell>
          <cell r="Z59">
            <v>54120</v>
          </cell>
          <cell r="AA59">
            <v>69360</v>
          </cell>
          <cell r="AB59">
            <v>13344</v>
          </cell>
          <cell r="AC59">
            <v>0</v>
          </cell>
          <cell r="AD59">
            <v>6612</v>
          </cell>
          <cell r="AE59">
            <v>6108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2172</v>
          </cell>
          <cell r="AL59">
            <v>108</v>
          </cell>
          <cell r="AM59">
            <v>72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I59">
            <v>0</v>
          </cell>
          <cell r="BJ59">
            <v>93036</v>
          </cell>
          <cell r="BK59">
            <v>0</v>
          </cell>
          <cell r="BL59">
            <v>0</v>
          </cell>
          <cell r="BM59">
            <v>0</v>
          </cell>
          <cell r="BN59">
            <v>328516</v>
          </cell>
          <cell r="BO59">
            <v>421552</v>
          </cell>
          <cell r="BP59">
            <v>0</v>
          </cell>
          <cell r="BQ59">
            <v>421552</v>
          </cell>
          <cell r="BR59" t="str">
            <v>CF OK</v>
          </cell>
          <cell r="BT59">
            <v>0</v>
          </cell>
          <cell r="CB59">
            <v>0</v>
          </cell>
          <cell r="CD59">
            <v>421552</v>
          </cell>
          <cell r="CE59" t="e">
            <v>#REF!</v>
          </cell>
        </row>
        <row r="60">
          <cell r="A60" t="str">
            <v>JE#  T060  Gains and Losses (Disp 1)</v>
          </cell>
          <cell r="B60" t="str">
            <v>T060</v>
          </cell>
          <cell r="C60" t="str">
            <v>L1.20</v>
          </cell>
          <cell r="D60" t="str">
            <v>n/a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-65000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-65000</v>
          </cell>
          <cell r="BO60">
            <v>-65000</v>
          </cell>
          <cell r="BP60">
            <v>0</v>
          </cell>
          <cell r="BQ60">
            <v>-65000</v>
          </cell>
          <cell r="BR60" t="str">
            <v>CF OK</v>
          </cell>
          <cell r="BT60">
            <v>0</v>
          </cell>
          <cell r="CB60">
            <v>0</v>
          </cell>
          <cell r="CD60">
            <v>-65000</v>
          </cell>
          <cell r="CE60" t="e">
            <v>#REF!</v>
          </cell>
        </row>
        <row r="61">
          <cell r="A61" t="str">
            <v>JE#  T062  Abandonment Losses (Disp 3)</v>
          </cell>
          <cell r="B61" t="str">
            <v>T062</v>
          </cell>
          <cell r="C61" t="str">
            <v>L1.20</v>
          </cell>
          <cell r="D61" t="str">
            <v>Separate Schedule - E</v>
          </cell>
          <cell r="F61">
            <v>-2162266.6391322403</v>
          </cell>
          <cell r="G61">
            <v>-2959309.0915219989</v>
          </cell>
          <cell r="H61">
            <v>0</v>
          </cell>
          <cell r="I61">
            <v>0</v>
          </cell>
          <cell r="J61">
            <v>-1218.453696000003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-142705.53825200006</v>
          </cell>
          <cell r="R61">
            <v>-36858.482968000004</v>
          </cell>
          <cell r="S61">
            <v>-4668266.5195984039</v>
          </cell>
          <cell r="T61">
            <v>-29409.001200000006</v>
          </cell>
          <cell r="U61">
            <v>-239857.58070080006</v>
          </cell>
          <cell r="V61">
            <v>-1203149.8761359993</v>
          </cell>
          <cell r="W61">
            <v>-48315.622799999997</v>
          </cell>
          <cell r="X61">
            <v>0</v>
          </cell>
          <cell r="Y61">
            <v>0</v>
          </cell>
          <cell r="Z61">
            <v>-2864384.2697640001</v>
          </cell>
          <cell r="AA61">
            <v>-3193886.2329372037</v>
          </cell>
          <cell r="AB61">
            <v>-225662.17385600001</v>
          </cell>
          <cell r="AC61">
            <v>-11510.6512</v>
          </cell>
          <cell r="AD61">
            <v>-1067144.0633493999</v>
          </cell>
          <cell r="AE61">
            <v>-387893.89663359965</v>
          </cell>
          <cell r="AF61">
            <v>0</v>
          </cell>
          <cell r="AG61">
            <v>-53017.714799999994</v>
          </cell>
          <cell r="AH61">
            <v>0</v>
          </cell>
          <cell r="AI61">
            <v>0</v>
          </cell>
          <cell r="AJ61">
            <v>0</v>
          </cell>
          <cell r="AK61">
            <v>-1142043.5329519999</v>
          </cell>
          <cell r="AL61">
            <v>141695.05438400002</v>
          </cell>
          <cell r="AM61">
            <v>-854536.81251299998</v>
          </cell>
          <cell r="AN61">
            <v>-110441.50771200002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I61">
            <v>0</v>
          </cell>
          <cell r="BJ61">
            <v>-2959309.0915219989</v>
          </cell>
          <cell r="BK61">
            <v>0</v>
          </cell>
          <cell r="BL61">
            <v>0</v>
          </cell>
          <cell r="BM61">
            <v>-53017.714799999994</v>
          </cell>
          <cell r="BN61">
            <v>-18247855.801016647</v>
          </cell>
          <cell r="BO61">
            <v>-21260182.607338645</v>
          </cell>
          <cell r="BP61">
            <v>0</v>
          </cell>
          <cell r="BQ61">
            <v>-21260182.607338645</v>
          </cell>
          <cell r="BR61" t="str">
            <v>CF OK</v>
          </cell>
          <cell r="BT61">
            <v>0</v>
          </cell>
          <cell r="CB61">
            <v>0</v>
          </cell>
          <cell r="CD61">
            <v>-21260182.607338645</v>
          </cell>
          <cell r="CE61" t="e">
            <v>#REF!</v>
          </cell>
        </row>
        <row r="62">
          <cell r="A62" t="str">
            <v>JE#  T063  Cost of Removal (Disp 4)</v>
          </cell>
          <cell r="B62" t="str">
            <v>T063</v>
          </cell>
          <cell r="C62" t="str">
            <v>L1.21</v>
          </cell>
          <cell r="D62" t="str">
            <v>Separate Schedule - F</v>
          </cell>
          <cell r="F62">
            <v>0</v>
          </cell>
          <cell r="G62">
            <v>-8754969</v>
          </cell>
          <cell r="H62">
            <v>0</v>
          </cell>
          <cell r="I62">
            <v>0</v>
          </cell>
          <cell r="J62">
            <v>185919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1460024</v>
          </cell>
          <cell r="R62">
            <v>-39920</v>
          </cell>
          <cell r="S62">
            <v>-9040597</v>
          </cell>
          <cell r="T62">
            <v>106899</v>
          </cell>
          <cell r="U62">
            <v>719609</v>
          </cell>
          <cell r="V62">
            <v>-907457</v>
          </cell>
          <cell r="W62">
            <v>21243</v>
          </cell>
          <cell r="X62">
            <v>0</v>
          </cell>
          <cell r="Y62">
            <v>0</v>
          </cell>
          <cell r="Z62">
            <v>7689747</v>
          </cell>
          <cell r="AA62">
            <v>2064680</v>
          </cell>
          <cell r="AB62">
            <v>-267446</v>
          </cell>
          <cell r="AC62">
            <v>0</v>
          </cell>
          <cell r="AD62">
            <v>2724354</v>
          </cell>
          <cell r="AE62">
            <v>-131597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1609742</v>
          </cell>
          <cell r="AL62">
            <v>164298</v>
          </cell>
          <cell r="AM62">
            <v>-83443</v>
          </cell>
          <cell r="AN62">
            <v>31502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I62">
            <v>0</v>
          </cell>
          <cell r="BJ62">
            <v>-8754969</v>
          </cell>
          <cell r="BK62">
            <v>0</v>
          </cell>
          <cell r="BL62">
            <v>0</v>
          </cell>
          <cell r="BM62">
            <v>0</v>
          </cell>
          <cell r="BN62">
            <v>6307557</v>
          </cell>
          <cell r="BO62">
            <v>-2447412</v>
          </cell>
          <cell r="BP62">
            <v>0</v>
          </cell>
          <cell r="BQ62">
            <v>-2447412</v>
          </cell>
          <cell r="BR62" t="str">
            <v>CF OK</v>
          </cell>
          <cell r="BT62">
            <v>0</v>
          </cell>
          <cell r="CB62">
            <v>0</v>
          </cell>
          <cell r="CD62">
            <v>-2447412</v>
          </cell>
          <cell r="CE62" t="e">
            <v>#REF!</v>
          </cell>
        </row>
        <row r="63">
          <cell r="A63" t="str">
            <v>JE#  T070  Amortization of UPAA</v>
          </cell>
          <cell r="B63" t="str">
            <v>T070</v>
          </cell>
          <cell r="C63" t="str">
            <v>L2.10</v>
          </cell>
          <cell r="D63" t="str">
            <v>TB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 t="str">
            <v>CF OK</v>
          </cell>
          <cell r="BT63">
            <v>0</v>
          </cell>
          <cell r="CB63">
            <v>0</v>
          </cell>
          <cell r="CD63">
            <v>0</v>
          </cell>
          <cell r="CE63" t="e">
            <v>#REF!</v>
          </cell>
        </row>
        <row r="64">
          <cell r="A64" t="str">
            <v>JE#  T086  Purchased Water - Outside (PWtr 2)</v>
          </cell>
          <cell r="B64" t="str">
            <v>T086</v>
          </cell>
          <cell r="C64" t="str">
            <v>L5.10</v>
          </cell>
          <cell r="D64" t="str">
            <v>TB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 t="str">
            <v>CF OK</v>
          </cell>
          <cell r="BT64">
            <v>0</v>
          </cell>
          <cell r="CB64">
            <v>0</v>
          </cell>
          <cell r="CD64">
            <v>0</v>
          </cell>
          <cell r="CE64" t="e">
            <v>#REF!</v>
          </cell>
        </row>
        <row r="65">
          <cell r="A65" t="str">
            <v>JE#  T090  Depreciation Study</v>
          </cell>
          <cell r="B65" t="str">
            <v>T090</v>
          </cell>
          <cell r="C65" t="str">
            <v>L5.10</v>
          </cell>
          <cell r="D65" t="str">
            <v>TB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-17678</v>
          </cell>
          <cell r="R65">
            <v>0</v>
          </cell>
          <cell r="S65">
            <v>0</v>
          </cell>
          <cell r="T65">
            <v>10434</v>
          </cell>
          <cell r="U65">
            <v>-38638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-32653</v>
          </cell>
          <cell r="AL65">
            <v>955</v>
          </cell>
          <cell r="AM65">
            <v>2352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-75228</v>
          </cell>
          <cell r="BO65">
            <v>-75228</v>
          </cell>
          <cell r="BP65">
            <v>0</v>
          </cell>
          <cell r="BQ65">
            <v>-75228</v>
          </cell>
          <cell r="BR65" t="str">
            <v>CF OK</v>
          </cell>
          <cell r="BT65">
            <v>0</v>
          </cell>
          <cell r="CB65">
            <v>0</v>
          </cell>
          <cell r="CD65">
            <v>-75228</v>
          </cell>
          <cell r="CE65" t="e">
            <v>#REF!</v>
          </cell>
        </row>
        <row r="66">
          <cell r="A66" t="str">
            <v>JE#  T095  Cost of Service Study</v>
          </cell>
          <cell r="B66" t="str">
            <v>T095</v>
          </cell>
          <cell r="C66" t="str">
            <v>L5.10</v>
          </cell>
          <cell r="D66" t="str">
            <v>TB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1874</v>
          </cell>
          <cell r="R66">
            <v>0</v>
          </cell>
          <cell r="S66">
            <v>0</v>
          </cell>
          <cell r="T66">
            <v>-7899</v>
          </cell>
          <cell r="U66">
            <v>-6259</v>
          </cell>
          <cell r="V66">
            <v>22208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9924</v>
          </cell>
          <cell r="BO66">
            <v>9924</v>
          </cell>
          <cell r="BP66">
            <v>0</v>
          </cell>
          <cell r="BQ66">
            <v>9924</v>
          </cell>
          <cell r="BR66" t="str">
            <v>CF OK</v>
          </cell>
          <cell r="BT66">
            <v>0</v>
          </cell>
          <cell r="CB66">
            <v>0</v>
          </cell>
          <cell r="CD66">
            <v>9924</v>
          </cell>
          <cell r="CE66" t="e">
            <v>#REF!</v>
          </cell>
        </row>
        <row r="67">
          <cell r="A67" t="str">
            <v>JE#  T100  Amortization of Debt Discount</v>
          </cell>
          <cell r="B67" t="str">
            <v>T100</v>
          </cell>
          <cell r="C67" t="str">
            <v>A7.31</v>
          </cell>
          <cell r="D67" t="str">
            <v>TB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12948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12948</v>
          </cell>
          <cell r="BO67">
            <v>12948</v>
          </cell>
          <cell r="BP67">
            <v>0</v>
          </cell>
          <cell r="BQ67">
            <v>12948</v>
          </cell>
          <cell r="BR67" t="str">
            <v>CF OK</v>
          </cell>
          <cell r="BT67">
            <v>0</v>
          </cell>
          <cell r="CB67">
            <v>0</v>
          </cell>
          <cell r="CD67">
            <v>12948</v>
          </cell>
          <cell r="CE67" t="e">
            <v>#REF!</v>
          </cell>
        </row>
        <row r="68">
          <cell r="A68" t="str">
            <v>JE#  T105  Management Study</v>
          </cell>
          <cell r="B68" t="str">
            <v>T105</v>
          </cell>
          <cell r="C68" t="str">
            <v>L5.10</v>
          </cell>
          <cell r="D68" t="str">
            <v>TB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130000</v>
          </cell>
          <cell r="T68">
            <v>-184964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-54964</v>
          </cell>
          <cell r="BO68">
            <v>-54964</v>
          </cell>
          <cell r="BP68">
            <v>0</v>
          </cell>
          <cell r="BQ68">
            <v>-54964</v>
          </cell>
          <cell r="BR68" t="str">
            <v>CF OK</v>
          </cell>
          <cell r="BT68">
            <v>0</v>
          </cell>
          <cell r="CB68">
            <v>0</v>
          </cell>
          <cell r="CD68">
            <v>-54964</v>
          </cell>
          <cell r="CE68" t="e">
            <v>#REF!</v>
          </cell>
        </row>
        <row r="69">
          <cell r="A69" t="str">
            <v>JE#  T110  Waste Disposal</v>
          </cell>
          <cell r="B69" t="str">
            <v>T110</v>
          </cell>
          <cell r="C69" t="str">
            <v>L5.10</v>
          </cell>
          <cell r="D69" t="str">
            <v>TB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92313</v>
          </cell>
          <cell r="R69">
            <v>0</v>
          </cell>
          <cell r="S69">
            <v>0</v>
          </cell>
          <cell r="T69">
            <v>0</v>
          </cell>
          <cell r="U69">
            <v>5165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1496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98974</v>
          </cell>
          <cell r="BO69">
            <v>98974</v>
          </cell>
          <cell r="BP69">
            <v>0</v>
          </cell>
          <cell r="BQ69">
            <v>98974</v>
          </cell>
          <cell r="BR69" t="str">
            <v>CF OK</v>
          </cell>
          <cell r="BT69">
            <v>0</v>
          </cell>
          <cell r="CB69">
            <v>0</v>
          </cell>
          <cell r="CD69">
            <v>98974</v>
          </cell>
          <cell r="CE69" t="e">
            <v>#REF!</v>
          </cell>
        </row>
        <row r="70">
          <cell r="A70" t="str">
            <v>JE#  T115  Group Insurance</v>
          </cell>
          <cell r="B70" t="str">
            <v>T115</v>
          </cell>
          <cell r="C70" t="str">
            <v>A7.50</v>
          </cell>
          <cell r="D70" t="str">
            <v>TB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 t="str">
            <v>CF OK</v>
          </cell>
          <cell r="BT70">
            <v>0</v>
          </cell>
          <cell r="CB70">
            <v>0</v>
          </cell>
          <cell r="CD70">
            <v>0</v>
          </cell>
          <cell r="CE70" t="e">
            <v>#REF!</v>
          </cell>
        </row>
        <row r="71">
          <cell r="A71" t="str">
            <v>JE#  T122  Incentive Plan (Incen 3)</v>
          </cell>
          <cell r="B71" t="str">
            <v>T122</v>
          </cell>
          <cell r="C71" t="str">
            <v>A9.20</v>
          </cell>
          <cell r="D71" t="str">
            <v>Separate Schedule - G</v>
          </cell>
          <cell r="F71">
            <v>4199808</v>
          </cell>
          <cell r="G71">
            <v>979191</v>
          </cell>
          <cell r="H71">
            <v>0</v>
          </cell>
          <cell r="I71">
            <v>-412223</v>
          </cell>
          <cell r="J71">
            <v>-13071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14489</v>
          </cell>
          <cell r="R71">
            <v>6399</v>
          </cell>
          <cell r="S71">
            <v>649777</v>
          </cell>
          <cell r="T71">
            <v>56878</v>
          </cell>
          <cell r="U71">
            <v>48805</v>
          </cell>
          <cell r="V71">
            <v>140958</v>
          </cell>
          <cell r="W71">
            <v>5019</v>
          </cell>
          <cell r="X71">
            <v>0</v>
          </cell>
          <cell r="Y71">
            <v>0</v>
          </cell>
          <cell r="Z71">
            <v>444278</v>
          </cell>
          <cell r="AA71">
            <v>166216</v>
          </cell>
          <cell r="AB71">
            <v>18098</v>
          </cell>
          <cell r="AC71">
            <v>6794</v>
          </cell>
          <cell r="AD71">
            <v>361483</v>
          </cell>
          <cell r="AE71">
            <v>197321</v>
          </cell>
          <cell r="AF71">
            <v>0</v>
          </cell>
          <cell r="AG71">
            <v>6721</v>
          </cell>
          <cell r="AH71">
            <v>0</v>
          </cell>
          <cell r="AI71">
            <v>400597</v>
          </cell>
          <cell r="AJ71">
            <v>0</v>
          </cell>
          <cell r="AK71">
            <v>1199330</v>
          </cell>
          <cell r="AL71">
            <v>25938</v>
          </cell>
          <cell r="AM71">
            <v>162370</v>
          </cell>
          <cell r="AN71">
            <v>7268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-262136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-615909</v>
          </cell>
          <cell r="BA71">
            <v>-34450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I71">
            <v>400597</v>
          </cell>
          <cell r="BJ71">
            <v>979191</v>
          </cell>
          <cell r="BK71">
            <v>-412223</v>
          </cell>
          <cell r="BL71">
            <v>-615909</v>
          </cell>
          <cell r="BM71">
            <v>6721</v>
          </cell>
          <cell r="BN71">
            <v>7436022</v>
          </cell>
          <cell r="BO71">
            <v>7794399</v>
          </cell>
          <cell r="BP71">
            <v>-34450</v>
          </cell>
          <cell r="BQ71">
            <v>7759949</v>
          </cell>
          <cell r="BR71" t="str">
            <v>CF OK</v>
          </cell>
          <cell r="BT71">
            <v>0</v>
          </cell>
          <cell r="CB71">
            <v>0</v>
          </cell>
          <cell r="CD71">
            <v>7759949</v>
          </cell>
          <cell r="CE71" t="e">
            <v>#REF!</v>
          </cell>
        </row>
        <row r="72">
          <cell r="A72" t="str">
            <v>JE#  T124  Incentive Plan (Incent 5)</v>
          </cell>
          <cell r="B72" t="str">
            <v>T124</v>
          </cell>
          <cell r="C72" t="str">
            <v>A9.10</v>
          </cell>
          <cell r="D72" t="str">
            <v>Separate Schedule - G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 t="str">
            <v>CF OK</v>
          </cell>
          <cell r="BT72">
            <v>0</v>
          </cell>
          <cell r="CB72">
            <v>0</v>
          </cell>
          <cell r="CD72">
            <v>0</v>
          </cell>
          <cell r="CE72" t="e">
            <v>#REF!</v>
          </cell>
        </row>
        <row r="73">
          <cell r="A73" t="str">
            <v>JE#  T130  Regulatory Pension (Pension 1)</v>
          </cell>
          <cell r="B73" t="str">
            <v>T130</v>
          </cell>
          <cell r="C73" t="str">
            <v>A5.10</v>
          </cell>
          <cell r="D73" t="str">
            <v>Separate Schedule - H</v>
          </cell>
          <cell r="F73">
            <v>-9553578</v>
          </cell>
          <cell r="G73">
            <v>-6586001</v>
          </cell>
          <cell r="H73">
            <v>0</v>
          </cell>
          <cell r="I73">
            <v>0</v>
          </cell>
          <cell r="J73">
            <v>-843518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-905569</v>
          </cell>
          <cell r="R73">
            <v>-6114</v>
          </cell>
          <cell r="S73">
            <v>707138</v>
          </cell>
          <cell r="T73">
            <v>-116375</v>
          </cell>
          <cell r="U73">
            <v>49130</v>
          </cell>
          <cell r="V73">
            <v>-636427</v>
          </cell>
          <cell r="W73">
            <v>-52617</v>
          </cell>
          <cell r="X73">
            <v>0</v>
          </cell>
          <cell r="Y73">
            <v>0</v>
          </cell>
          <cell r="Z73">
            <v>-2994330</v>
          </cell>
          <cell r="AA73">
            <v>-1352486</v>
          </cell>
          <cell r="AB73">
            <v>-233587</v>
          </cell>
          <cell r="AC73">
            <v>-54152</v>
          </cell>
          <cell r="AD73">
            <v>-4432973</v>
          </cell>
          <cell r="AE73">
            <v>-1425030</v>
          </cell>
          <cell r="AF73">
            <v>0</v>
          </cell>
          <cell r="AG73">
            <v>-10267</v>
          </cell>
          <cell r="AH73">
            <v>0</v>
          </cell>
          <cell r="AI73">
            <v>-20031</v>
          </cell>
          <cell r="AJ73">
            <v>0</v>
          </cell>
          <cell r="AK73">
            <v>-2323929</v>
          </cell>
          <cell r="AL73">
            <v>-162671</v>
          </cell>
          <cell r="AM73">
            <v>-37983</v>
          </cell>
          <cell r="AN73">
            <v>-139621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-478841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I73">
            <v>-20031</v>
          </cell>
          <cell r="BJ73">
            <v>-6586001</v>
          </cell>
          <cell r="BK73">
            <v>0</v>
          </cell>
          <cell r="BL73">
            <v>-478841</v>
          </cell>
          <cell r="BM73">
            <v>-10267</v>
          </cell>
          <cell r="BN73">
            <v>-24514692</v>
          </cell>
          <cell r="BO73">
            <v>-31609832</v>
          </cell>
          <cell r="BP73">
            <v>0</v>
          </cell>
          <cell r="BQ73">
            <v>-31609832</v>
          </cell>
          <cell r="BR73" t="str">
            <v>CF OK</v>
          </cell>
          <cell r="BT73">
            <v>0</v>
          </cell>
          <cell r="CB73">
            <v>0</v>
          </cell>
          <cell r="CD73">
            <v>-31609832</v>
          </cell>
          <cell r="CE73" t="e">
            <v>#REF!</v>
          </cell>
        </row>
        <row r="74">
          <cell r="A74" t="str">
            <v>JE#  T131  Regulatory Pension (Pension 2)</v>
          </cell>
          <cell r="B74" t="str">
            <v>T131</v>
          </cell>
          <cell r="C74" t="str">
            <v>A5.20</v>
          </cell>
          <cell r="D74" t="str">
            <v>Separate Schedule - H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 t="str">
            <v>CF OK</v>
          </cell>
          <cell r="BT74">
            <v>0</v>
          </cell>
          <cell r="CB74">
            <v>0</v>
          </cell>
          <cell r="CD74">
            <v>0</v>
          </cell>
          <cell r="CE74" t="e">
            <v>#REF!</v>
          </cell>
        </row>
        <row r="75">
          <cell r="A75" t="str">
            <v>JE#  T132  Regulatory Pension (Pension 3)</v>
          </cell>
          <cell r="B75" t="str">
            <v>T132</v>
          </cell>
          <cell r="C75" t="str">
            <v>A5.10</v>
          </cell>
          <cell r="D75" t="str">
            <v>Separate Schedule - H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 t="str">
            <v>CF OK</v>
          </cell>
          <cell r="BT75">
            <v>0</v>
          </cell>
          <cell r="CB75">
            <v>0</v>
          </cell>
          <cell r="CD75">
            <v>0</v>
          </cell>
          <cell r="CE75" t="e">
            <v>#REF!</v>
          </cell>
        </row>
        <row r="76">
          <cell r="A76" t="str">
            <v>JE#  T135  Supplemental Pension</v>
          </cell>
          <cell r="B76" t="str">
            <v>T135</v>
          </cell>
          <cell r="C76" t="str">
            <v>A5.10</v>
          </cell>
          <cell r="D76" t="str">
            <v>TB</v>
          </cell>
          <cell r="F76">
            <v>23363</v>
          </cell>
          <cell r="G76">
            <v>1250</v>
          </cell>
          <cell r="H76">
            <v>0</v>
          </cell>
          <cell r="I76">
            <v>0</v>
          </cell>
          <cell r="J76">
            <v>0</v>
          </cell>
          <cell r="K76">
            <v>-30923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3470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1279</v>
          </cell>
          <cell r="AA76">
            <v>0</v>
          </cell>
          <cell r="AB76">
            <v>0</v>
          </cell>
          <cell r="AC76">
            <v>0</v>
          </cell>
          <cell r="AD76">
            <v>-44004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-84772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I76">
            <v>-115695</v>
          </cell>
          <cell r="BJ76">
            <v>1250</v>
          </cell>
          <cell r="BK76">
            <v>0</v>
          </cell>
          <cell r="BL76">
            <v>0</v>
          </cell>
          <cell r="BM76">
            <v>0</v>
          </cell>
          <cell r="BN76">
            <v>-15892</v>
          </cell>
          <cell r="BO76">
            <v>-130337</v>
          </cell>
          <cell r="BP76">
            <v>0</v>
          </cell>
          <cell r="BQ76">
            <v>-130337</v>
          </cell>
          <cell r="BR76" t="str">
            <v>CF OK</v>
          </cell>
          <cell r="BT76">
            <v>0</v>
          </cell>
          <cell r="CB76">
            <v>0</v>
          </cell>
          <cell r="CD76">
            <v>-130337</v>
          </cell>
          <cell r="CE76" t="e">
            <v>#REF!</v>
          </cell>
        </row>
        <row r="77">
          <cell r="A77" t="str">
            <v>JE#  T140  Accrued OPEB (OPEB 1)</v>
          </cell>
          <cell r="B77" t="str">
            <v>T140</v>
          </cell>
          <cell r="C77" t="str">
            <v>A3.10</v>
          </cell>
          <cell r="D77" t="str">
            <v>Separate Schedule - I</v>
          </cell>
          <cell r="F77">
            <v>434072.2443367932</v>
          </cell>
          <cell r="G77">
            <v>759641.28599730413</v>
          </cell>
          <cell r="H77">
            <v>985.31366087444621</v>
          </cell>
          <cell r="I77">
            <v>0</v>
          </cell>
          <cell r="J77">
            <v>102698.49424780009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134014.39855499379</v>
          </cell>
          <cell r="R77">
            <v>15273.716436946503</v>
          </cell>
          <cell r="S77">
            <v>2417968.3788998872</v>
          </cell>
          <cell r="T77">
            <v>147809.69293616433</v>
          </cell>
          <cell r="U77">
            <v>300671.5231673558</v>
          </cell>
          <cell r="V77">
            <v>474192.67367589055</v>
          </cell>
          <cell r="W77">
            <v>5911.8819652466773</v>
          </cell>
          <cell r="X77">
            <v>0</v>
          </cell>
          <cell r="Y77">
            <v>0</v>
          </cell>
          <cell r="Z77">
            <v>322576.75197297102</v>
          </cell>
          <cell r="AA77">
            <v>370485.28053967049</v>
          </cell>
          <cell r="AB77">
            <v>79817.631562257186</v>
          </cell>
          <cell r="AC77">
            <v>6404.990360148091</v>
          </cell>
          <cell r="AD77">
            <v>929874.32571554743</v>
          </cell>
          <cell r="AE77">
            <v>-395855.9560218188</v>
          </cell>
          <cell r="AF77">
            <v>0</v>
          </cell>
          <cell r="AG77">
            <v>0</v>
          </cell>
          <cell r="AH77">
            <v>0</v>
          </cell>
          <cell r="AI77">
            <v>9360.9313427714224</v>
          </cell>
          <cell r="AJ77">
            <v>0</v>
          </cell>
          <cell r="AK77">
            <v>-312484.2673261629</v>
          </cell>
          <cell r="AL77">
            <v>21186.501531121554</v>
          </cell>
          <cell r="AM77">
            <v>12317.775454323157</v>
          </cell>
          <cell r="AN77">
            <v>11331.558664520329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-8530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I77">
            <v>9360.9313427714224</v>
          </cell>
          <cell r="BJ77">
            <v>759641.28599730413</v>
          </cell>
          <cell r="BK77">
            <v>985.31366087444621</v>
          </cell>
          <cell r="BL77">
            <v>-8530</v>
          </cell>
          <cell r="BM77">
            <v>0</v>
          </cell>
          <cell r="BN77">
            <v>5078267.5966736553</v>
          </cell>
          <cell r="BO77">
            <v>5839725.1276746057</v>
          </cell>
          <cell r="BP77">
            <v>0</v>
          </cell>
          <cell r="BQ77">
            <v>5839725.1276746057</v>
          </cell>
          <cell r="BR77" t="str">
            <v>CF OK</v>
          </cell>
          <cell r="BT77">
            <v>0</v>
          </cell>
          <cell r="CB77">
            <v>0</v>
          </cell>
          <cell r="CD77">
            <v>5839725.1276746057</v>
          </cell>
          <cell r="CE77" t="e">
            <v>#REF!</v>
          </cell>
        </row>
        <row r="78">
          <cell r="A78" t="str">
            <v>JE#  T141  Accrued OPEB (OPEB 2)</v>
          </cell>
          <cell r="B78" t="str">
            <v>T141</v>
          </cell>
          <cell r="C78" t="str">
            <v>A3.10</v>
          </cell>
          <cell r="D78" t="str">
            <v>Separate Schedule - I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 t="str">
            <v>CF OK</v>
          </cell>
          <cell r="BT78">
            <v>0</v>
          </cell>
          <cell r="CB78">
            <v>0</v>
          </cell>
          <cell r="CD78">
            <v>0</v>
          </cell>
          <cell r="CE78" t="e">
            <v>#REF!</v>
          </cell>
        </row>
        <row r="79">
          <cell r="A79" t="str">
            <v>JE#  T142  Accrued OPEB (OPEB 3)</v>
          </cell>
          <cell r="B79" t="str">
            <v>T142</v>
          </cell>
          <cell r="C79" t="str">
            <v>A3.11</v>
          </cell>
          <cell r="D79" t="str">
            <v>Separate Schedule - I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 t="str">
            <v>CF OK</v>
          </cell>
          <cell r="BT79">
            <v>0</v>
          </cell>
          <cell r="CB79">
            <v>0</v>
          </cell>
          <cell r="CD79">
            <v>0</v>
          </cell>
          <cell r="CE79" t="e">
            <v>#REF!</v>
          </cell>
        </row>
        <row r="80">
          <cell r="A80" t="str">
            <v>JE#  T145  AFUDC (AFUDC 1)</v>
          </cell>
          <cell r="B80" t="str">
            <v>T145</v>
          </cell>
          <cell r="C80" t="str">
            <v>L1.10</v>
          </cell>
          <cell r="D80" t="str">
            <v>TB</v>
          </cell>
          <cell r="F80">
            <v>0</v>
          </cell>
          <cell r="G80">
            <v>-2155063.42</v>
          </cell>
          <cell r="H80">
            <v>0</v>
          </cell>
          <cell r="I80">
            <v>0</v>
          </cell>
          <cell r="J80">
            <v>-631272.63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-2997821.67</v>
          </cell>
          <cell r="R80">
            <v>-8756.0400000000009</v>
          </cell>
          <cell r="S80">
            <v>-1312796.44</v>
          </cell>
          <cell r="T80">
            <v>-309611.98</v>
          </cell>
          <cell r="U80">
            <v>118453.46</v>
          </cell>
          <cell r="V80">
            <v>-337042.31</v>
          </cell>
          <cell r="W80">
            <v>1231.27</v>
          </cell>
          <cell r="X80">
            <v>0</v>
          </cell>
          <cell r="Y80">
            <v>0</v>
          </cell>
          <cell r="Z80">
            <v>-365352.54</v>
          </cell>
          <cell r="AA80">
            <v>-1211655.67</v>
          </cell>
          <cell r="AB80">
            <v>-74051.11</v>
          </cell>
          <cell r="AC80">
            <v>88.76</v>
          </cell>
          <cell r="AD80">
            <v>-542404.49</v>
          </cell>
          <cell r="AE80">
            <v>-323794.67</v>
          </cell>
          <cell r="AF80">
            <v>-21284.3</v>
          </cell>
          <cell r="AG80">
            <v>-2508.16</v>
          </cell>
          <cell r="AH80">
            <v>0</v>
          </cell>
          <cell r="AI80">
            <v>0</v>
          </cell>
          <cell r="AJ80">
            <v>0</v>
          </cell>
          <cell r="AK80">
            <v>-1757228.89</v>
          </cell>
          <cell r="AL80">
            <v>-64999</v>
          </cell>
          <cell r="AM80">
            <v>-937483.5</v>
          </cell>
          <cell r="AN80">
            <v>-16378.71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I80">
            <v>0</v>
          </cell>
          <cell r="BJ80">
            <v>-2155063.42</v>
          </cell>
          <cell r="BK80">
            <v>0</v>
          </cell>
          <cell r="BL80">
            <v>0</v>
          </cell>
          <cell r="BM80">
            <v>-2508.16</v>
          </cell>
          <cell r="BN80">
            <v>-10792160.460000001</v>
          </cell>
          <cell r="BO80">
            <v>-12949732.040000001</v>
          </cell>
          <cell r="BP80">
            <v>0</v>
          </cell>
          <cell r="BQ80">
            <v>-12949732.040000001</v>
          </cell>
          <cell r="BR80" t="str">
            <v>CF OK</v>
          </cell>
          <cell r="BT80">
            <v>0</v>
          </cell>
          <cell r="CB80">
            <v>0</v>
          </cell>
          <cell r="CD80">
            <v>-12949732.040000001</v>
          </cell>
          <cell r="CE80" t="e">
            <v>#REF!</v>
          </cell>
        </row>
        <row r="81">
          <cell r="A81" t="str">
            <v>JE#  T146  AFUDC - Equity CWIP (AFUDC 2)</v>
          </cell>
          <cell r="B81" t="str">
            <v>T146</v>
          </cell>
          <cell r="C81" t="str">
            <v>L5.50</v>
          </cell>
          <cell r="D81" t="str">
            <v>TB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 t="str">
            <v>CF OK</v>
          </cell>
          <cell r="BT81">
            <v>0</v>
          </cell>
          <cell r="CB81">
            <v>0</v>
          </cell>
          <cell r="CD81">
            <v>0</v>
          </cell>
          <cell r="CE81" t="e">
            <v>#REF!</v>
          </cell>
        </row>
        <row r="82">
          <cell r="A82" t="str">
            <v>JE#  T147  Amortization of Regulatory Asset (AFUDC 3)</v>
          </cell>
          <cell r="B82" t="str">
            <v>T147</v>
          </cell>
          <cell r="C82" t="str">
            <v>L5.51</v>
          </cell>
          <cell r="D82" t="str">
            <v>TB</v>
          </cell>
          <cell r="F82">
            <v>0</v>
          </cell>
          <cell r="G82">
            <v>353249</v>
          </cell>
          <cell r="H82">
            <v>0</v>
          </cell>
          <cell r="I82">
            <v>0</v>
          </cell>
          <cell r="J82">
            <v>10528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80248</v>
          </cell>
          <cell r="R82">
            <v>4012</v>
          </cell>
          <cell r="S82">
            <v>107783</v>
          </cell>
          <cell r="T82">
            <v>22597</v>
          </cell>
          <cell r="U82">
            <v>7059</v>
          </cell>
          <cell r="V82">
            <v>175074</v>
          </cell>
          <cell r="W82">
            <v>115</v>
          </cell>
          <cell r="X82">
            <v>0</v>
          </cell>
          <cell r="Y82">
            <v>0</v>
          </cell>
          <cell r="Z82">
            <v>65362</v>
          </cell>
          <cell r="AA82">
            <v>193208</v>
          </cell>
          <cell r="AB82">
            <v>42168</v>
          </cell>
          <cell r="AC82">
            <v>0</v>
          </cell>
          <cell r="AD82">
            <v>150174</v>
          </cell>
          <cell r="AE82">
            <v>18958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16440</v>
          </cell>
          <cell r="AL82">
            <v>4803</v>
          </cell>
          <cell r="AM82">
            <v>69721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I82">
            <v>0</v>
          </cell>
          <cell r="BJ82">
            <v>353249</v>
          </cell>
          <cell r="BK82">
            <v>0</v>
          </cell>
          <cell r="BL82">
            <v>0</v>
          </cell>
          <cell r="BM82">
            <v>0</v>
          </cell>
          <cell r="BN82">
            <v>968250</v>
          </cell>
          <cell r="BO82">
            <v>1321499</v>
          </cell>
          <cell r="BP82">
            <v>0</v>
          </cell>
          <cell r="BQ82">
            <v>1321499</v>
          </cell>
          <cell r="BR82" t="str">
            <v>CF OK</v>
          </cell>
          <cell r="BT82">
            <v>0</v>
          </cell>
          <cell r="CB82">
            <v>0</v>
          </cell>
          <cell r="CD82">
            <v>1321499</v>
          </cell>
          <cell r="CE82" t="e">
            <v>#REF!</v>
          </cell>
        </row>
        <row r="83">
          <cell r="A83" t="str">
            <v>JE#  T150  Post AFUDC (P AFUDC 1)</v>
          </cell>
          <cell r="B83" t="str">
            <v>T150</v>
          </cell>
          <cell r="C83" t="str">
            <v>L1.10</v>
          </cell>
          <cell r="D83" t="str">
            <v>TB</v>
          </cell>
          <cell r="F83">
            <v>0</v>
          </cell>
          <cell r="G83">
            <v>-19558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-397541</v>
          </cell>
          <cell r="AB83">
            <v>11112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-852106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I83">
            <v>0</v>
          </cell>
          <cell r="BJ83">
            <v>-19558</v>
          </cell>
          <cell r="BK83">
            <v>0</v>
          </cell>
          <cell r="BL83">
            <v>0</v>
          </cell>
          <cell r="BM83">
            <v>0</v>
          </cell>
          <cell r="BN83">
            <v>-1238535</v>
          </cell>
          <cell r="BO83">
            <v>-1258093</v>
          </cell>
          <cell r="BP83">
            <v>0</v>
          </cell>
          <cell r="BQ83">
            <v>-1258093</v>
          </cell>
          <cell r="BR83" t="str">
            <v>CF OK</v>
          </cell>
          <cell r="BT83">
            <v>0</v>
          </cell>
          <cell r="CB83">
            <v>0</v>
          </cell>
          <cell r="CD83">
            <v>-1258093</v>
          </cell>
          <cell r="CE83" t="e">
            <v>#REF!</v>
          </cell>
        </row>
        <row r="84">
          <cell r="A84" t="str">
            <v>JE#  T151  Amortization of Post In-Service AFUDC (P AFUDC 2)</v>
          </cell>
          <cell r="B84" t="str">
            <v>T151</v>
          </cell>
          <cell r="C84" t="str">
            <v>L1.34</v>
          </cell>
          <cell r="D84" t="str">
            <v>TB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 t="str">
            <v>CF OK</v>
          </cell>
          <cell r="BT84">
            <v>0</v>
          </cell>
          <cell r="CB84">
            <v>0</v>
          </cell>
          <cell r="CD84">
            <v>0</v>
          </cell>
          <cell r="CE84" t="e">
            <v>#REF!</v>
          </cell>
        </row>
        <row r="85">
          <cell r="A85" t="str">
            <v>JE#  T152  Pavement Repairs</v>
          </cell>
          <cell r="B85" t="str">
            <v>T152</v>
          </cell>
          <cell r="C85" t="str">
            <v>L1.10</v>
          </cell>
          <cell r="D85" t="str">
            <v>TB</v>
          </cell>
          <cell r="F85">
            <v>0</v>
          </cell>
          <cell r="G85">
            <v>543032</v>
          </cell>
          <cell r="H85">
            <v>0</v>
          </cell>
          <cell r="I85">
            <v>0</v>
          </cell>
          <cell r="J85">
            <v>127955</v>
          </cell>
          <cell r="K85">
            <v>0</v>
          </cell>
          <cell r="L85">
            <v>4366</v>
          </cell>
          <cell r="M85">
            <v>23366</v>
          </cell>
          <cell r="N85">
            <v>0</v>
          </cell>
          <cell r="O85">
            <v>0</v>
          </cell>
          <cell r="P85">
            <v>0</v>
          </cell>
          <cell r="Q85">
            <v>-7614</v>
          </cell>
          <cell r="R85">
            <v>5000</v>
          </cell>
          <cell r="S85">
            <v>0</v>
          </cell>
          <cell r="T85">
            <v>49637</v>
          </cell>
          <cell r="U85">
            <v>-1059</v>
          </cell>
          <cell r="V85">
            <v>28217</v>
          </cell>
          <cell r="W85">
            <v>0</v>
          </cell>
          <cell r="X85">
            <v>0</v>
          </cell>
          <cell r="Y85">
            <v>0</v>
          </cell>
          <cell r="Z85">
            <v>133743</v>
          </cell>
          <cell r="AA85">
            <v>44775</v>
          </cell>
          <cell r="AB85">
            <v>19751</v>
          </cell>
          <cell r="AC85">
            <v>0</v>
          </cell>
          <cell r="AD85">
            <v>114750</v>
          </cell>
          <cell r="AE85">
            <v>-11662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I85">
            <v>0</v>
          </cell>
          <cell r="BJ85">
            <v>543032</v>
          </cell>
          <cell r="BK85">
            <v>0</v>
          </cell>
          <cell r="BL85">
            <v>0</v>
          </cell>
          <cell r="BM85">
            <v>0</v>
          </cell>
          <cell r="BN85">
            <v>531225</v>
          </cell>
          <cell r="BO85">
            <v>1074257</v>
          </cell>
          <cell r="BP85">
            <v>0</v>
          </cell>
          <cell r="BQ85">
            <v>1074257</v>
          </cell>
          <cell r="BR85" t="str">
            <v>CF OK</v>
          </cell>
          <cell r="BT85">
            <v>0</v>
          </cell>
          <cell r="CB85">
            <v>0</v>
          </cell>
          <cell r="CD85">
            <v>1074257</v>
          </cell>
          <cell r="CE85" t="e">
            <v>#REF!</v>
          </cell>
        </row>
        <row r="86">
          <cell r="A86" t="str">
            <v>JE#  T160  Deferred Maintenance (Maint 1)</v>
          </cell>
          <cell r="B86" t="str">
            <v>T160</v>
          </cell>
          <cell r="C86" t="str">
            <v>L5.10</v>
          </cell>
          <cell r="D86" t="str">
            <v>TB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32884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-1150022</v>
          </cell>
          <cell r="R86">
            <v>-9758</v>
          </cell>
          <cell r="S86">
            <v>0</v>
          </cell>
          <cell r="T86">
            <v>0</v>
          </cell>
          <cell r="U86">
            <v>-463178</v>
          </cell>
          <cell r="V86">
            <v>-1223603</v>
          </cell>
          <cell r="W86">
            <v>-48944</v>
          </cell>
          <cell r="X86">
            <v>0</v>
          </cell>
          <cell r="Y86">
            <v>0</v>
          </cell>
          <cell r="Z86">
            <v>-1351794</v>
          </cell>
          <cell r="AA86">
            <v>10771</v>
          </cell>
          <cell r="AB86">
            <v>20373</v>
          </cell>
          <cell r="AC86">
            <v>0</v>
          </cell>
          <cell r="AD86">
            <v>-446476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565803</v>
          </cell>
          <cell r="AL86">
            <v>235919</v>
          </cell>
          <cell r="AM86">
            <v>31245</v>
          </cell>
          <cell r="AN86">
            <v>81734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-3715046</v>
          </cell>
          <cell r="BO86">
            <v>-3715046</v>
          </cell>
          <cell r="BP86">
            <v>0</v>
          </cell>
          <cell r="BQ86">
            <v>-3715046</v>
          </cell>
          <cell r="BR86" t="str">
            <v>CF OK</v>
          </cell>
          <cell r="BT86">
            <v>0</v>
          </cell>
          <cell r="CB86">
            <v>0</v>
          </cell>
          <cell r="CD86">
            <v>-3715046</v>
          </cell>
          <cell r="CE86" t="e">
            <v>#REF!</v>
          </cell>
        </row>
        <row r="87">
          <cell r="A87" t="str">
            <v>JE#  T161  Deferred Maintenance (Maint 2)</v>
          </cell>
          <cell r="B87" t="str">
            <v>T161</v>
          </cell>
          <cell r="C87" t="str">
            <v>A7.60</v>
          </cell>
          <cell r="D87" t="str">
            <v>TB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-33947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881509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-1310469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-462907</v>
          </cell>
          <cell r="BO87">
            <v>-462907</v>
          </cell>
          <cell r="BP87">
            <v>0</v>
          </cell>
          <cell r="BQ87">
            <v>-462907</v>
          </cell>
          <cell r="BR87" t="str">
            <v>CF OK</v>
          </cell>
          <cell r="BT87">
            <v>0</v>
          </cell>
          <cell r="CB87">
            <v>0</v>
          </cell>
          <cell r="CD87">
            <v>-462907</v>
          </cell>
          <cell r="CE87" t="e">
            <v>#REF!</v>
          </cell>
        </row>
        <row r="88">
          <cell r="A88" t="str">
            <v>JE#  T165  Miscellaneous Deferred Debits (Misc 1)</v>
          </cell>
          <cell r="B88" t="str">
            <v>T165</v>
          </cell>
          <cell r="C88" t="str">
            <v>L5.10</v>
          </cell>
          <cell r="D88" t="str">
            <v>TB</v>
          </cell>
          <cell r="F88">
            <v>0</v>
          </cell>
          <cell r="G88">
            <v>2348271</v>
          </cell>
          <cell r="H88">
            <v>0</v>
          </cell>
          <cell r="I88">
            <v>0</v>
          </cell>
          <cell r="J88">
            <v>17172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412188</v>
          </cell>
          <cell r="R88">
            <v>44666</v>
          </cell>
          <cell r="S88">
            <v>767994</v>
          </cell>
          <cell r="T88">
            <v>319682</v>
          </cell>
          <cell r="U88">
            <v>-287393</v>
          </cell>
          <cell r="V88">
            <v>58351</v>
          </cell>
          <cell r="W88">
            <v>0</v>
          </cell>
          <cell r="X88">
            <v>0</v>
          </cell>
          <cell r="Y88">
            <v>0</v>
          </cell>
          <cell r="Z88">
            <v>621001</v>
          </cell>
          <cell r="AA88">
            <v>71244</v>
          </cell>
          <cell r="AB88">
            <v>0</v>
          </cell>
          <cell r="AC88">
            <v>0</v>
          </cell>
          <cell r="AD88">
            <v>160705</v>
          </cell>
          <cell r="AE88">
            <v>639804</v>
          </cell>
          <cell r="AF88">
            <v>0</v>
          </cell>
          <cell r="AG88">
            <v>0</v>
          </cell>
          <cell r="AH88">
            <v>0</v>
          </cell>
          <cell r="AI88">
            <v>998482</v>
          </cell>
          <cell r="AJ88">
            <v>0</v>
          </cell>
          <cell r="AK88">
            <v>-21136482</v>
          </cell>
          <cell r="AL88">
            <v>-921232</v>
          </cell>
          <cell r="AM88">
            <v>376234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255297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I88">
            <v>998482</v>
          </cell>
          <cell r="BJ88">
            <v>2348271</v>
          </cell>
          <cell r="BK88">
            <v>0</v>
          </cell>
          <cell r="BL88">
            <v>255297</v>
          </cell>
          <cell r="BM88">
            <v>0</v>
          </cell>
          <cell r="BN88">
            <v>-18856066</v>
          </cell>
          <cell r="BO88">
            <v>-15254016</v>
          </cell>
          <cell r="BP88">
            <v>0</v>
          </cell>
          <cell r="BQ88">
            <v>-15254016</v>
          </cell>
          <cell r="BR88" t="str">
            <v>CF OK</v>
          </cell>
          <cell r="BT88">
            <v>0</v>
          </cell>
          <cell r="CB88">
            <v>0</v>
          </cell>
          <cell r="CD88">
            <v>-15254016</v>
          </cell>
          <cell r="CE88" t="e">
            <v>#REF!</v>
          </cell>
        </row>
        <row r="89">
          <cell r="A89" t="str">
            <v>JE#  T166  Miscellaneous Deferred Credits (Misc 2)</v>
          </cell>
          <cell r="B89" t="str">
            <v>T166</v>
          </cell>
          <cell r="C89" t="str">
            <v>A7.50</v>
          </cell>
          <cell r="D89" t="str">
            <v>TB</v>
          </cell>
          <cell r="F89">
            <v>573625</v>
          </cell>
          <cell r="G89">
            <v>334508</v>
          </cell>
          <cell r="H89">
            <v>0</v>
          </cell>
          <cell r="I89">
            <v>-162868</v>
          </cell>
          <cell r="J89">
            <v>1748058</v>
          </cell>
          <cell r="K89">
            <v>3902752</v>
          </cell>
          <cell r="L89">
            <v>0</v>
          </cell>
          <cell r="M89">
            <v>0</v>
          </cell>
          <cell r="N89">
            <v>-102807</v>
          </cell>
          <cell r="O89">
            <v>0</v>
          </cell>
          <cell r="P89">
            <v>0</v>
          </cell>
          <cell r="Q89">
            <v>-164303</v>
          </cell>
          <cell r="R89">
            <v>-4036</v>
          </cell>
          <cell r="S89">
            <v>-485073</v>
          </cell>
          <cell r="T89">
            <v>-115191</v>
          </cell>
          <cell r="U89">
            <v>-529872</v>
          </cell>
          <cell r="V89">
            <v>38511</v>
          </cell>
          <cell r="W89">
            <v>0</v>
          </cell>
          <cell r="X89">
            <v>4020</v>
          </cell>
          <cell r="Y89">
            <v>0</v>
          </cell>
          <cell r="Z89">
            <v>-293145</v>
          </cell>
          <cell r="AA89">
            <v>-16801</v>
          </cell>
          <cell r="AB89">
            <v>0</v>
          </cell>
          <cell r="AC89">
            <v>0</v>
          </cell>
          <cell r="AD89">
            <v>0</v>
          </cell>
          <cell r="AE89">
            <v>3363</v>
          </cell>
          <cell r="AF89">
            <v>0</v>
          </cell>
          <cell r="AG89">
            <v>344290</v>
          </cell>
          <cell r="AH89">
            <v>0</v>
          </cell>
          <cell r="AI89">
            <v>967938</v>
          </cell>
          <cell r="AJ89">
            <v>0</v>
          </cell>
          <cell r="AK89">
            <v>-2084040</v>
          </cell>
          <cell r="AL89">
            <v>-18638</v>
          </cell>
          <cell r="AM89">
            <v>-122610</v>
          </cell>
          <cell r="AN89">
            <v>0</v>
          </cell>
          <cell r="AO89">
            <v>553249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-84247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I89">
            <v>4870690</v>
          </cell>
          <cell r="BJ89">
            <v>334508</v>
          </cell>
          <cell r="BK89">
            <v>-162868</v>
          </cell>
          <cell r="BL89">
            <v>-102807</v>
          </cell>
          <cell r="BM89">
            <v>344290</v>
          </cell>
          <cell r="BN89">
            <v>-912883</v>
          </cell>
          <cell r="BO89">
            <v>4370930</v>
          </cell>
          <cell r="BP89">
            <v>-84247</v>
          </cell>
          <cell r="BQ89">
            <v>4286683</v>
          </cell>
          <cell r="BR89" t="str">
            <v>CF OK</v>
          </cell>
          <cell r="BT89">
            <v>0</v>
          </cell>
          <cell r="CB89">
            <v>0</v>
          </cell>
          <cell r="CD89">
            <v>4286683</v>
          </cell>
          <cell r="CE89" t="e">
            <v>#REF!</v>
          </cell>
        </row>
        <row r="90">
          <cell r="A90" t="str">
            <v>JE#  T167  Miscellaneous Deferred Credits (Misc 3)</v>
          </cell>
          <cell r="B90" t="str">
            <v>T167</v>
          </cell>
          <cell r="C90" t="str">
            <v>A7.50</v>
          </cell>
          <cell r="D90" t="str">
            <v>TB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 t="str">
            <v>CF OK</v>
          </cell>
          <cell r="BT90">
            <v>0</v>
          </cell>
          <cell r="CB90">
            <v>0</v>
          </cell>
          <cell r="CD90">
            <v>0</v>
          </cell>
          <cell r="CE90" t="e">
            <v>#REF!</v>
          </cell>
        </row>
        <row r="91">
          <cell r="A91" t="str">
            <v>JE#  T170  Deferred Revenue</v>
          </cell>
          <cell r="B91" t="str">
            <v>T170</v>
          </cell>
          <cell r="C91" t="str">
            <v>L5.10</v>
          </cell>
          <cell r="D91" t="str">
            <v>TB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-222470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-222470</v>
          </cell>
          <cell r="BM91">
            <v>0</v>
          </cell>
          <cell r="BN91">
            <v>0</v>
          </cell>
          <cell r="BO91">
            <v>-222470</v>
          </cell>
          <cell r="BP91">
            <v>0</v>
          </cell>
          <cell r="BQ91">
            <v>-222470</v>
          </cell>
          <cell r="BR91" t="str">
            <v>CF OK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</row>
        <row r="92">
          <cell r="A92" t="str">
            <v>JE#  T175  Premium amortization</v>
          </cell>
          <cell r="B92" t="str">
            <v>T175</v>
          </cell>
          <cell r="C92" t="str">
            <v>L2.33</v>
          </cell>
          <cell r="D92" t="str">
            <v>TB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 t="str">
            <v>CF OK</v>
          </cell>
          <cell r="BT92">
            <v>0</v>
          </cell>
          <cell r="CB92">
            <v>0</v>
          </cell>
          <cell r="CD92">
            <v>0</v>
          </cell>
          <cell r="CE92" t="e">
            <v>#REF!</v>
          </cell>
        </row>
        <row r="93">
          <cell r="A93" t="str">
            <v>JE#  T180  Insurance Other than Group</v>
          </cell>
          <cell r="B93" t="str">
            <v>T180</v>
          </cell>
          <cell r="C93" t="str">
            <v>A7.60</v>
          </cell>
          <cell r="D93" t="str">
            <v>TB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-3279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-3279</v>
          </cell>
          <cell r="BM93">
            <v>0</v>
          </cell>
          <cell r="BN93">
            <v>0</v>
          </cell>
          <cell r="BO93">
            <v>-3279</v>
          </cell>
          <cell r="BP93">
            <v>0</v>
          </cell>
          <cell r="BQ93">
            <v>-3279</v>
          </cell>
          <cell r="BR93" t="str">
            <v>CF OK</v>
          </cell>
          <cell r="BT93">
            <v>0</v>
          </cell>
          <cell r="CB93">
            <v>0</v>
          </cell>
          <cell r="CD93">
            <v>-3279</v>
          </cell>
          <cell r="CE93" t="e">
            <v>#REF!</v>
          </cell>
        </row>
        <row r="94">
          <cell r="A94" t="str">
            <v>JE#  T185  Deferred Security Costs</v>
          </cell>
          <cell r="B94" t="str">
            <v>T185</v>
          </cell>
          <cell r="C94" t="str">
            <v>L6.00</v>
          </cell>
          <cell r="D94" t="str">
            <v>TB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1664075</v>
          </cell>
          <cell r="T94">
            <v>0</v>
          </cell>
          <cell r="U94">
            <v>0</v>
          </cell>
          <cell r="V94">
            <v>437130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540792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2641997</v>
          </cell>
          <cell r="BO94">
            <v>2641997</v>
          </cell>
          <cell r="BP94">
            <v>0</v>
          </cell>
          <cell r="BQ94">
            <v>2641997</v>
          </cell>
          <cell r="BR94" t="str">
            <v>CF OK</v>
          </cell>
          <cell r="BT94">
            <v>0</v>
          </cell>
          <cell r="CB94">
            <v>0</v>
          </cell>
          <cell r="CD94">
            <v>2641997</v>
          </cell>
          <cell r="CE94" t="e">
            <v>#REF!</v>
          </cell>
        </row>
        <row r="95">
          <cell r="A95" t="str">
            <v>JE#  T186  Deferred Customer Service Center Costs</v>
          </cell>
          <cell r="B95" t="str">
            <v>T186</v>
          </cell>
          <cell r="C95" t="str">
            <v>L7.00</v>
          </cell>
          <cell r="D95" t="str">
            <v>TB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50614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983491</v>
          </cell>
          <cell r="T95">
            <v>98112</v>
          </cell>
          <cell r="U95">
            <v>0</v>
          </cell>
          <cell r="V95">
            <v>167546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21865</v>
          </cell>
          <cell r="AC95">
            <v>0</v>
          </cell>
          <cell r="AD95">
            <v>93304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1414932</v>
          </cell>
          <cell r="BO95">
            <v>1414932</v>
          </cell>
          <cell r="BP95">
            <v>0</v>
          </cell>
          <cell r="BQ95">
            <v>1414932</v>
          </cell>
          <cell r="BR95" t="str">
            <v>CF OK</v>
          </cell>
          <cell r="BT95">
            <v>0</v>
          </cell>
          <cell r="CB95">
            <v>0</v>
          </cell>
          <cell r="CD95">
            <v>1414932</v>
          </cell>
          <cell r="CE95" t="e">
            <v>#REF!</v>
          </cell>
        </row>
        <row r="96">
          <cell r="A96" t="str">
            <v>JE#  T187  Deferred Financial Services Costs</v>
          </cell>
          <cell r="B96" t="str">
            <v>T187</v>
          </cell>
          <cell r="C96" t="str">
            <v>L7.00</v>
          </cell>
          <cell r="D96" t="str">
            <v>TB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75086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36760</v>
          </cell>
          <cell r="U96">
            <v>0</v>
          </cell>
          <cell r="V96">
            <v>180670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40588</v>
          </cell>
          <cell r="AC96">
            <v>0</v>
          </cell>
          <cell r="AD96">
            <v>77957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411061</v>
          </cell>
          <cell r="BO96">
            <v>411061</v>
          </cell>
          <cell r="BP96">
            <v>0</v>
          </cell>
          <cell r="BQ96">
            <v>411061</v>
          </cell>
          <cell r="BR96" t="str">
            <v>CF OK</v>
          </cell>
          <cell r="BT96">
            <v>0</v>
          </cell>
          <cell r="CB96">
            <v>0</v>
          </cell>
          <cell r="CD96">
            <v>411061</v>
          </cell>
          <cell r="CE96" t="e">
            <v>#REF!</v>
          </cell>
        </row>
        <row r="97">
          <cell r="A97" t="str">
            <v>JE#  T190  Deferred Business Change Costs</v>
          </cell>
          <cell r="B97" t="str">
            <v>T190</v>
          </cell>
          <cell r="C97" t="str">
            <v>L8.00</v>
          </cell>
          <cell r="D97" t="str">
            <v>TB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 t="str">
            <v>CF OK</v>
          </cell>
          <cell r="BT97">
            <v>0</v>
          </cell>
          <cell r="CB97">
            <v>0</v>
          </cell>
          <cell r="CD97">
            <v>0</v>
          </cell>
          <cell r="CE97" t="e">
            <v>#REF!</v>
          </cell>
        </row>
        <row r="98">
          <cell r="A98" t="str">
            <v>JE#  T191  Deferred IMO Costs</v>
          </cell>
          <cell r="B98" t="str">
            <v>T191</v>
          </cell>
          <cell r="C98" t="str">
            <v>L8.00</v>
          </cell>
          <cell r="D98" t="str">
            <v>TB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 t="str">
            <v>CF OK</v>
          </cell>
          <cell r="BT98">
            <v>0</v>
          </cell>
          <cell r="CB98">
            <v>0</v>
          </cell>
          <cell r="CD98">
            <v>0</v>
          </cell>
          <cell r="CE98" t="e">
            <v>#REF!</v>
          </cell>
        </row>
        <row r="99">
          <cell r="A99" t="str">
            <v>JE#  T200  Transaction Costs</v>
          </cell>
          <cell r="B99" t="str">
            <v>T200</v>
          </cell>
          <cell r="C99" t="str">
            <v>L5.10</v>
          </cell>
          <cell r="D99" t="str">
            <v>TB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 t="str">
            <v>CF OK</v>
          </cell>
          <cell r="BT99">
            <v>0</v>
          </cell>
          <cell r="CB99">
            <v>0</v>
          </cell>
          <cell r="CD99">
            <v>0</v>
          </cell>
          <cell r="CE99" t="e">
            <v>#REF!</v>
          </cell>
        </row>
        <row r="100">
          <cell r="A100" t="str">
            <v>JE#  T216  Foreign Interest-267 Adjustment</v>
          </cell>
          <cell r="B100" t="str">
            <v>T216</v>
          </cell>
          <cell r="C100" t="str">
            <v>A7.60</v>
          </cell>
          <cell r="D100" t="str">
            <v>Separate Schedule - J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 t="str">
            <v>CF OK</v>
          </cell>
          <cell r="BT100">
            <v>0</v>
          </cell>
          <cell r="CB100">
            <v>0</v>
          </cell>
          <cell r="CD100">
            <v>0</v>
          </cell>
          <cell r="CE100" t="e">
            <v>#REF!</v>
          </cell>
        </row>
        <row r="101">
          <cell r="A101" t="str">
            <v>Deferred tax benefit for pro-rate portion of tax deductible Goodwill</v>
          </cell>
          <cell r="B101" t="str">
            <v>T998</v>
          </cell>
          <cell r="D101" t="str">
            <v>Separate Schedule - J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 t="str">
            <v>CF OK</v>
          </cell>
          <cell r="BT101">
            <v>0</v>
          </cell>
          <cell r="CB101">
            <v>0</v>
          </cell>
          <cell r="CD101">
            <v>0</v>
          </cell>
          <cell r="CE101" t="e">
            <v>#REF!</v>
          </cell>
        </row>
        <row r="102">
          <cell r="A102" t="str">
            <v>Add Back Maint Exp ARO/Net Neg Salvage (Acct# 675110)</v>
          </cell>
          <cell r="B102" t="str">
            <v>T050</v>
          </cell>
          <cell r="C102" t="str">
            <v>L2.10</v>
          </cell>
          <cell r="D102" t="str">
            <v>TB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 t="str">
            <v>CF OK</v>
          </cell>
          <cell r="BT102">
            <v>0</v>
          </cell>
          <cell r="CB102">
            <v>0</v>
          </cell>
          <cell r="CD102">
            <v>0</v>
          </cell>
          <cell r="CE102" t="e">
            <v>#REF!</v>
          </cell>
        </row>
        <row r="103">
          <cell r="A103" t="str">
            <v>Purchase Accounting (Separate Sch)</v>
          </cell>
          <cell r="B103" t="str">
            <v>T999</v>
          </cell>
          <cell r="D103" t="str">
            <v>Separate Schedule - J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 t="str">
            <v>CF OK</v>
          </cell>
          <cell r="BT103">
            <v>0</v>
          </cell>
          <cell r="CB103">
            <v>0</v>
          </cell>
          <cell r="CD103">
            <v>0</v>
          </cell>
          <cell r="CE103" t="e">
            <v>#REF!</v>
          </cell>
        </row>
        <row r="104">
          <cell r="A104" t="str">
            <v>Medicare Subsidy offset (T225 in P/Y)</v>
          </cell>
          <cell r="B104" t="str">
            <v>T076</v>
          </cell>
          <cell r="D104" t="str">
            <v>n/a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 t="str">
            <v>CF OK</v>
          </cell>
          <cell r="BT104">
            <v>0</v>
          </cell>
          <cell r="CB104">
            <v>0</v>
          </cell>
          <cell r="CD104">
            <v>0</v>
          </cell>
          <cell r="CE104" t="e">
            <v>#REF!</v>
          </cell>
        </row>
        <row r="105">
          <cell r="A105" t="str">
            <v>IPO Divestiture Costs</v>
          </cell>
          <cell r="B105" t="str">
            <v>x</v>
          </cell>
          <cell r="D105" t="str">
            <v>Separate Schedule - J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 t="str">
            <v>CF OK</v>
          </cell>
          <cell r="BT105">
            <v>0</v>
          </cell>
          <cell r="CB105">
            <v>0</v>
          </cell>
          <cell r="CD105">
            <v>0</v>
          </cell>
          <cell r="CE105" t="e">
            <v>#REF!</v>
          </cell>
        </row>
        <row r="106">
          <cell r="A106" t="str">
            <v>Long Term Debt</v>
          </cell>
          <cell r="B106" t="str">
            <v>x</v>
          </cell>
          <cell r="D106" t="str">
            <v>Separate Schedule - J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 t="str">
            <v>CF OK</v>
          </cell>
          <cell r="BT106">
            <v>0</v>
          </cell>
          <cell r="CB106">
            <v>0</v>
          </cell>
          <cell r="CD106">
            <v>0</v>
          </cell>
          <cell r="CE106" t="e">
            <v>#REF!</v>
          </cell>
        </row>
        <row r="107">
          <cell r="A107" t="str">
            <v>Intangible</v>
          </cell>
          <cell r="B107" t="str">
            <v>x</v>
          </cell>
          <cell r="D107" t="str">
            <v>Separate Schedule - J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 t="str">
            <v>CF OK</v>
          </cell>
          <cell r="BT107">
            <v>0</v>
          </cell>
          <cell r="CB107">
            <v>0</v>
          </cell>
          <cell r="CD107">
            <v>0</v>
          </cell>
          <cell r="CE107" t="e">
            <v>#REF!</v>
          </cell>
        </row>
        <row r="108">
          <cell r="A108" t="str">
            <v>Loss Contract Reserve</v>
          </cell>
          <cell r="B108" t="str">
            <v>x</v>
          </cell>
          <cell r="D108" t="str">
            <v>Separate Schedule - J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 t="str">
            <v>CF OK</v>
          </cell>
          <cell r="BT108">
            <v>0</v>
          </cell>
          <cell r="CB108">
            <v>0</v>
          </cell>
          <cell r="CD108">
            <v>0</v>
          </cell>
          <cell r="CE108" t="e">
            <v>#REF!</v>
          </cell>
        </row>
        <row r="109">
          <cell r="A109" t="str">
            <v>Elimination of Book Goodwill and Prior Sales (AWE only)</v>
          </cell>
          <cell r="B109" t="str">
            <v>x</v>
          </cell>
          <cell r="D109" t="str">
            <v>Separate Schedule - J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 t="str">
            <v>CF OK</v>
          </cell>
          <cell r="BT109">
            <v>0</v>
          </cell>
          <cell r="CB109">
            <v>0</v>
          </cell>
          <cell r="CD109">
            <v>0</v>
          </cell>
          <cell r="CE109" t="e">
            <v>#REF!</v>
          </cell>
        </row>
        <row r="110">
          <cell r="A110" t="str">
            <v>JE#  T220  JV Gain/Loss</v>
          </cell>
          <cell r="B110" t="str">
            <v>T220</v>
          </cell>
          <cell r="D110" t="str">
            <v>Separate Schedule - J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 t="str">
            <v>CF OK</v>
          </cell>
          <cell r="BT110">
            <v>0</v>
          </cell>
          <cell r="CB110">
            <v>0</v>
          </cell>
          <cell r="CD110">
            <v>0</v>
          </cell>
          <cell r="CE110" t="e">
            <v>#REF!</v>
          </cell>
        </row>
        <row r="111">
          <cell r="A111" t="str">
            <v>JE#  Z016  Prov/Rtn Adj. -  From K-1-interest income</v>
          </cell>
          <cell r="B111" t="str">
            <v>Z016</v>
          </cell>
          <cell r="C111" t="str">
            <v>L5.10</v>
          </cell>
          <cell r="D111" t="str">
            <v>Separate Schedule - J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 t="str">
            <v>CF OK</v>
          </cell>
          <cell r="BT111">
            <v>0</v>
          </cell>
          <cell r="CB111">
            <v>0</v>
          </cell>
          <cell r="CD111">
            <v>0</v>
          </cell>
          <cell r="CE111" t="e">
            <v>#REF!</v>
          </cell>
        </row>
        <row r="112">
          <cell r="A112" t="str">
            <v>FAS 123 (r) Stock Options - Acct #501716</v>
          </cell>
          <cell r="B112" t="str">
            <v>T230</v>
          </cell>
          <cell r="C112" t="str">
            <v>A7.70</v>
          </cell>
          <cell r="D112" t="str">
            <v>Separate Schedule - J</v>
          </cell>
          <cell r="F112">
            <v>2127119</v>
          </cell>
          <cell r="G112">
            <v>211333</v>
          </cell>
          <cell r="H112">
            <v>0</v>
          </cell>
          <cell r="I112">
            <v>18342</v>
          </cell>
          <cell r="J112">
            <v>13751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10436</v>
          </cell>
          <cell r="R112">
            <v>0</v>
          </cell>
          <cell r="S112">
            <v>189514</v>
          </cell>
          <cell r="T112">
            <v>7112</v>
          </cell>
          <cell r="U112">
            <v>0</v>
          </cell>
          <cell r="V112">
            <v>38948</v>
          </cell>
          <cell r="W112">
            <v>0</v>
          </cell>
          <cell r="X112">
            <v>0</v>
          </cell>
          <cell r="Y112">
            <v>0</v>
          </cell>
          <cell r="Z112">
            <v>42189</v>
          </cell>
          <cell r="AA112">
            <v>9826</v>
          </cell>
          <cell r="AB112">
            <v>1680</v>
          </cell>
          <cell r="AC112">
            <v>0</v>
          </cell>
          <cell r="AD112">
            <v>9325</v>
          </cell>
          <cell r="AE112">
            <v>6771</v>
          </cell>
          <cell r="AF112">
            <v>0</v>
          </cell>
          <cell r="AG112">
            <v>0</v>
          </cell>
          <cell r="AH112">
            <v>0</v>
          </cell>
          <cell r="AI112">
            <v>1221276</v>
          </cell>
          <cell r="AJ112">
            <v>0</v>
          </cell>
          <cell r="AK112">
            <v>28054</v>
          </cell>
          <cell r="AL112">
            <v>0</v>
          </cell>
          <cell r="AM112">
            <v>10117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3753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111721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I112">
            <v>1221276</v>
          </cell>
          <cell r="BJ112">
            <v>211333</v>
          </cell>
          <cell r="BK112">
            <v>18342</v>
          </cell>
          <cell r="BL112">
            <v>111721</v>
          </cell>
          <cell r="BM112">
            <v>0</v>
          </cell>
          <cell r="BN112">
            <v>2498595</v>
          </cell>
          <cell r="BO112">
            <v>4061267</v>
          </cell>
          <cell r="BP112">
            <v>0</v>
          </cell>
          <cell r="BQ112">
            <v>4061267</v>
          </cell>
          <cell r="BR112" t="str">
            <v>CF OK</v>
          </cell>
          <cell r="BT112">
            <v>0</v>
          </cell>
        </row>
        <row r="113">
          <cell r="A113" t="str">
            <v>FAS 123 (r) Restricted Stock Gift - Acct #501717</v>
          </cell>
          <cell r="B113" t="str">
            <v>T231</v>
          </cell>
          <cell r="C113" t="str">
            <v>A7.70</v>
          </cell>
          <cell r="D113" t="str">
            <v>Separate Schedule - J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 t="str">
            <v>CF OK</v>
          </cell>
          <cell r="BT113">
            <v>0</v>
          </cell>
        </row>
        <row r="114">
          <cell r="A114" t="str">
            <v>Imputed Interest Expense</v>
          </cell>
          <cell r="B114" t="str">
            <v>x</v>
          </cell>
          <cell r="D114" t="str">
            <v>Separate Schedule - J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 t="str">
            <v>CF OK</v>
          </cell>
          <cell r="BT114">
            <v>0</v>
          </cell>
        </row>
        <row r="115">
          <cell r="A115" t="str">
            <v>Inventory Reserve</v>
          </cell>
          <cell r="B115" t="str">
            <v>x</v>
          </cell>
          <cell r="C115" t="str">
            <v>L5.10</v>
          </cell>
          <cell r="D115" t="str">
            <v>Separate Schedule - J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-182823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-182823</v>
          </cell>
          <cell r="BM115">
            <v>0</v>
          </cell>
          <cell r="BN115">
            <v>0</v>
          </cell>
          <cell r="BO115">
            <v>-182823</v>
          </cell>
          <cell r="BP115">
            <v>0</v>
          </cell>
          <cell r="BQ115">
            <v>-182823</v>
          </cell>
          <cell r="BR115" t="str">
            <v>CF OK</v>
          </cell>
          <cell r="BT115">
            <v>0</v>
          </cell>
        </row>
        <row r="116">
          <cell r="A116" t="str">
            <v>Accrued Interest</v>
          </cell>
          <cell r="B116" t="str">
            <v>x</v>
          </cell>
          <cell r="C116" t="str">
            <v>A7.50</v>
          </cell>
          <cell r="D116" t="str">
            <v>Separate Schedule - J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219500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219500</v>
          </cell>
          <cell r="BM116">
            <v>0</v>
          </cell>
          <cell r="BN116">
            <v>0</v>
          </cell>
          <cell r="BO116">
            <v>219500</v>
          </cell>
          <cell r="BP116">
            <v>0</v>
          </cell>
          <cell r="BQ116">
            <v>219500</v>
          </cell>
          <cell r="BR116" t="str">
            <v>CF OK</v>
          </cell>
          <cell r="BT116">
            <v>0</v>
          </cell>
        </row>
        <row r="117">
          <cell r="A117" t="str">
            <v>Loss Contract Reserve</v>
          </cell>
          <cell r="B117" t="str">
            <v>x</v>
          </cell>
          <cell r="C117" t="str">
            <v>A7.50</v>
          </cell>
          <cell r="D117" t="str">
            <v>Separate Schedule - J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-310055</v>
          </cell>
          <cell r="BA117">
            <v>-86121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-310055</v>
          </cell>
          <cell r="BM117">
            <v>0</v>
          </cell>
          <cell r="BN117">
            <v>0</v>
          </cell>
          <cell r="BO117">
            <v>-310055</v>
          </cell>
          <cell r="BP117">
            <v>-86121</v>
          </cell>
          <cell r="BQ117">
            <v>-396176</v>
          </cell>
          <cell r="BR117" t="str">
            <v>CF OK</v>
          </cell>
          <cell r="BT117">
            <v>0</v>
          </cell>
        </row>
        <row r="118">
          <cell r="A118" t="str">
            <v>Minority Interest</v>
          </cell>
          <cell r="B118" t="str">
            <v>x</v>
          </cell>
          <cell r="D118" t="str">
            <v>Separate Schedule - J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 t="str">
            <v>CF OK</v>
          </cell>
          <cell r="BT118">
            <v>0</v>
          </cell>
        </row>
        <row r="119">
          <cell r="A119" t="str">
            <v>Sludge</v>
          </cell>
          <cell r="B119" t="str">
            <v>x</v>
          </cell>
          <cell r="C119" t="str">
            <v>A7.50</v>
          </cell>
          <cell r="D119" t="str">
            <v>Separate Schedule - J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-386575</v>
          </cell>
          <cell r="BA119">
            <v>-55394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-386575</v>
          </cell>
          <cell r="BM119">
            <v>0</v>
          </cell>
          <cell r="BN119">
            <v>0</v>
          </cell>
          <cell r="BO119">
            <v>-386575</v>
          </cell>
          <cell r="BP119">
            <v>-55394</v>
          </cell>
          <cell r="BQ119">
            <v>-441969</v>
          </cell>
          <cell r="BR119" t="str">
            <v>CF OK</v>
          </cell>
          <cell r="BT119">
            <v>0</v>
          </cell>
        </row>
        <row r="120">
          <cell r="A120" t="str">
            <v>Accrued Warranty</v>
          </cell>
          <cell r="B120" t="str">
            <v>x</v>
          </cell>
          <cell r="D120" t="str">
            <v>Separate Schedule - J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 t="str">
            <v>CF OK</v>
          </cell>
          <cell r="BT120">
            <v>0</v>
          </cell>
        </row>
        <row r="121">
          <cell r="A121" t="str">
            <v>Accrued Purchases</v>
          </cell>
          <cell r="B121" t="str">
            <v>x</v>
          </cell>
          <cell r="C121" t="str">
            <v>A7.50</v>
          </cell>
          <cell r="D121" t="str">
            <v>Separate Schedule - J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 t="str">
            <v>CF OK</v>
          </cell>
          <cell r="BT121">
            <v>0</v>
          </cell>
        </row>
        <row r="122">
          <cell r="A122" t="str">
            <v>Accrued Utilities</v>
          </cell>
          <cell r="B122" t="str">
            <v>x</v>
          </cell>
          <cell r="D122" t="str">
            <v>Separate Schedule - J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 t="str">
            <v>CF OK</v>
          </cell>
          <cell r="BT122">
            <v>0</v>
          </cell>
        </row>
        <row r="123">
          <cell r="A123" t="str">
            <v>Book Goodwill Amortization</v>
          </cell>
          <cell r="B123" t="str">
            <v>x</v>
          </cell>
          <cell r="C123" t="str">
            <v>L3.00</v>
          </cell>
          <cell r="D123" t="str">
            <v>Separate Schedule - J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 t="str">
            <v>CF OK</v>
          </cell>
          <cell r="BT123">
            <v>0</v>
          </cell>
        </row>
        <row r="124">
          <cell r="A124" t="str">
            <v>Carbon Leases</v>
          </cell>
          <cell r="B124" t="str">
            <v>x</v>
          </cell>
          <cell r="C124" t="str">
            <v>L10.00</v>
          </cell>
          <cell r="D124" t="str">
            <v>Separate Schedule - J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430266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430266</v>
          </cell>
          <cell r="BM124">
            <v>0</v>
          </cell>
          <cell r="BN124">
            <v>0</v>
          </cell>
          <cell r="BO124">
            <v>430266</v>
          </cell>
          <cell r="BP124">
            <v>0</v>
          </cell>
          <cell r="BQ124">
            <v>430266</v>
          </cell>
          <cell r="BR124" t="str">
            <v>CF OK</v>
          </cell>
          <cell r="BT124">
            <v>0</v>
          </cell>
        </row>
        <row r="125">
          <cell r="A125" t="str">
            <v>Tax Goodwill Amortization</v>
          </cell>
          <cell r="B125" t="str">
            <v>x</v>
          </cell>
          <cell r="C125" t="str">
            <v>L3.00</v>
          </cell>
          <cell r="D125" t="str">
            <v>Separate Schedule - J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-4733829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-4733829</v>
          </cell>
          <cell r="BM125">
            <v>0</v>
          </cell>
          <cell r="BN125">
            <v>0</v>
          </cell>
          <cell r="BO125">
            <v>-4733829</v>
          </cell>
          <cell r="BP125">
            <v>0</v>
          </cell>
          <cell r="BQ125">
            <v>-4733829</v>
          </cell>
          <cell r="BR125" t="str">
            <v>CF OK</v>
          </cell>
          <cell r="BT125">
            <v>0</v>
          </cell>
        </row>
        <row r="126">
          <cell r="A126" t="str">
            <v>FAS 123 (r) Restricted Stock Units - Acct #501718</v>
          </cell>
          <cell r="B126" t="str">
            <v>T232</v>
          </cell>
          <cell r="C126" t="str">
            <v>A7.70</v>
          </cell>
          <cell r="D126" t="str">
            <v>Separate Schedule - J</v>
          </cell>
          <cell r="F126">
            <v>2943813</v>
          </cell>
          <cell r="G126">
            <v>334341</v>
          </cell>
          <cell r="H126">
            <v>0</v>
          </cell>
          <cell r="I126">
            <v>23758</v>
          </cell>
          <cell r="J126">
            <v>15388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15303</v>
          </cell>
          <cell r="R126">
            <v>0</v>
          </cell>
          <cell r="S126">
            <v>290053</v>
          </cell>
          <cell r="T126">
            <v>9317</v>
          </cell>
          <cell r="U126">
            <v>0</v>
          </cell>
          <cell r="V126">
            <v>52584</v>
          </cell>
          <cell r="W126">
            <v>0</v>
          </cell>
          <cell r="X126">
            <v>0</v>
          </cell>
          <cell r="Y126">
            <v>0</v>
          </cell>
          <cell r="Z126">
            <v>61870</v>
          </cell>
          <cell r="AA126">
            <v>7185</v>
          </cell>
          <cell r="AB126">
            <v>5011</v>
          </cell>
          <cell r="AC126">
            <v>0</v>
          </cell>
          <cell r="AD126">
            <v>9668</v>
          </cell>
          <cell r="AE126">
            <v>8732</v>
          </cell>
          <cell r="AF126">
            <v>0</v>
          </cell>
          <cell r="AG126">
            <v>0</v>
          </cell>
          <cell r="AH126">
            <v>0</v>
          </cell>
          <cell r="AI126">
            <v>1794180</v>
          </cell>
          <cell r="AJ126">
            <v>0</v>
          </cell>
          <cell r="AK126">
            <v>54407</v>
          </cell>
          <cell r="AL126">
            <v>0</v>
          </cell>
          <cell r="AM126">
            <v>11572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-2009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163023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I126">
            <v>1794180</v>
          </cell>
          <cell r="BJ126">
            <v>334341</v>
          </cell>
          <cell r="BK126">
            <v>23758</v>
          </cell>
          <cell r="BL126">
            <v>163023</v>
          </cell>
          <cell r="BM126">
            <v>0</v>
          </cell>
          <cell r="BN126">
            <v>3482894</v>
          </cell>
          <cell r="BO126">
            <v>5798196</v>
          </cell>
          <cell r="BP126">
            <v>0</v>
          </cell>
          <cell r="BQ126">
            <v>5798196</v>
          </cell>
          <cell r="BR126" t="str">
            <v>CF OK</v>
          </cell>
          <cell r="BT126">
            <v>0</v>
          </cell>
        </row>
        <row r="127">
          <cell r="A127" t="str">
            <v>FAS 123 (r) ESPP  - Acct #508200</v>
          </cell>
          <cell r="B127" t="str">
            <v>T233</v>
          </cell>
          <cell r="C127" t="str">
            <v>A7.70</v>
          </cell>
          <cell r="D127" t="str">
            <v>Separate Schedule - J</v>
          </cell>
          <cell r="F127">
            <v>146042</v>
          </cell>
          <cell r="G127">
            <v>34720</v>
          </cell>
          <cell r="H127">
            <v>0</v>
          </cell>
          <cell r="I127">
            <v>3005</v>
          </cell>
          <cell r="J127">
            <v>2947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3744</v>
          </cell>
          <cell r="R127">
            <v>365</v>
          </cell>
          <cell r="S127">
            <v>54030</v>
          </cell>
          <cell r="T127">
            <v>2607</v>
          </cell>
          <cell r="U127">
            <v>2106</v>
          </cell>
          <cell r="V127">
            <v>6473</v>
          </cell>
          <cell r="W127">
            <v>0</v>
          </cell>
          <cell r="X127">
            <v>0</v>
          </cell>
          <cell r="Y127">
            <v>0</v>
          </cell>
          <cell r="Z127">
            <v>15296</v>
          </cell>
          <cell r="AA127">
            <v>8270</v>
          </cell>
          <cell r="AB127">
            <v>1147</v>
          </cell>
          <cell r="AC127">
            <v>0</v>
          </cell>
          <cell r="AD127">
            <v>12287</v>
          </cell>
          <cell r="AE127">
            <v>2874</v>
          </cell>
          <cell r="AF127">
            <v>0</v>
          </cell>
          <cell r="AG127">
            <v>0</v>
          </cell>
          <cell r="AH127">
            <v>0</v>
          </cell>
          <cell r="AI127">
            <v>6345</v>
          </cell>
          <cell r="AJ127">
            <v>0</v>
          </cell>
          <cell r="AK127">
            <v>11262</v>
          </cell>
          <cell r="AL127">
            <v>2123</v>
          </cell>
          <cell r="AM127">
            <v>7051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-7426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13430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I127">
            <v>6345</v>
          </cell>
          <cell r="BJ127">
            <v>34720</v>
          </cell>
          <cell r="BK127">
            <v>3005</v>
          </cell>
          <cell r="BL127">
            <v>13430</v>
          </cell>
          <cell r="BM127">
            <v>0</v>
          </cell>
          <cell r="BN127">
            <v>271198</v>
          </cell>
          <cell r="BO127">
            <v>328698</v>
          </cell>
          <cell r="BP127">
            <v>0</v>
          </cell>
          <cell r="BQ127">
            <v>328698</v>
          </cell>
          <cell r="BR127" t="str">
            <v>CF OK</v>
          </cell>
          <cell r="BT127">
            <v>0</v>
          </cell>
        </row>
        <row r="128">
          <cell r="A128" t="str">
            <v>MTBE Settlement</v>
          </cell>
          <cell r="B128" t="str">
            <v>T234</v>
          </cell>
          <cell r="C128" t="str">
            <v>A7.80</v>
          </cell>
          <cell r="D128" t="str">
            <v>Separate Schedule - J</v>
          </cell>
          <cell r="F128">
            <v>0</v>
          </cell>
          <cell r="G128">
            <v>-1867668</v>
          </cell>
          <cell r="H128">
            <v>0</v>
          </cell>
          <cell r="I128">
            <v>0</v>
          </cell>
          <cell r="J128">
            <v>2499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11563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I128">
            <v>0</v>
          </cell>
          <cell r="BJ128">
            <v>-1867668</v>
          </cell>
          <cell r="BK128">
            <v>0</v>
          </cell>
          <cell r="BL128">
            <v>0</v>
          </cell>
          <cell r="BM128">
            <v>0</v>
          </cell>
          <cell r="BN128">
            <v>14062</v>
          </cell>
          <cell r="BO128">
            <v>-1853606</v>
          </cell>
          <cell r="BP128">
            <v>0</v>
          </cell>
          <cell r="BQ128">
            <v>-1853606</v>
          </cell>
          <cell r="BR128" t="str">
            <v>CF OK</v>
          </cell>
          <cell r="BT128">
            <v>0</v>
          </cell>
        </row>
        <row r="129">
          <cell r="A129" t="str">
            <v>Repairs Expense</v>
          </cell>
          <cell r="B129" t="str">
            <v>T235</v>
          </cell>
          <cell r="C129" t="str">
            <v>L1.20</v>
          </cell>
          <cell r="D129" t="str">
            <v>Separate Schedule - J</v>
          </cell>
          <cell r="F129">
            <v>0</v>
          </cell>
          <cell r="G129">
            <v>-6941893.5210000016</v>
          </cell>
          <cell r="H129">
            <v>0</v>
          </cell>
          <cell r="I129">
            <v>0</v>
          </cell>
          <cell r="J129">
            <v>-126693.70500000002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-2404871.6355000013</v>
          </cell>
          <cell r="R129">
            <v>-72069.661499999987</v>
          </cell>
          <cell r="S129">
            <v>-10900967.025</v>
          </cell>
          <cell r="T129">
            <v>-422779.27350000001</v>
          </cell>
          <cell r="U129">
            <v>-751352.88600000017</v>
          </cell>
          <cell r="V129">
            <v>-2469050.0249999999</v>
          </cell>
          <cell r="W129">
            <v>-107259.6795</v>
          </cell>
          <cell r="X129">
            <v>0</v>
          </cell>
          <cell r="Y129">
            <v>0</v>
          </cell>
          <cell r="Z129">
            <v>-474729.0540000021</v>
          </cell>
          <cell r="AA129">
            <v>-5464681.1444999995</v>
          </cell>
          <cell r="AB129">
            <v>-867119.49</v>
          </cell>
          <cell r="AC129">
            <v>-9192.36</v>
          </cell>
          <cell r="AD129">
            <v>-10120807.8555</v>
          </cell>
          <cell r="AE129">
            <v>-1064345.6055000001</v>
          </cell>
          <cell r="AF129">
            <v>-58621.849499999989</v>
          </cell>
          <cell r="AG129">
            <v>-103589.82149999999</v>
          </cell>
          <cell r="AH129">
            <v>0</v>
          </cell>
          <cell r="AI129">
            <v>0</v>
          </cell>
          <cell r="AJ129">
            <v>0</v>
          </cell>
          <cell r="AK129">
            <v>-2871759.3644999997</v>
          </cell>
          <cell r="AL129">
            <v>-283508.71949999995</v>
          </cell>
          <cell r="AM129">
            <v>-1858074.2009999999</v>
          </cell>
          <cell r="AN129">
            <v>-554256.22500000009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I129">
            <v>0</v>
          </cell>
          <cell r="BJ129">
            <v>-6941893.5210000016</v>
          </cell>
          <cell r="BK129">
            <v>0</v>
          </cell>
          <cell r="BL129">
            <v>0</v>
          </cell>
          <cell r="BM129">
            <v>-103589.82149999999</v>
          </cell>
          <cell r="BN129">
            <v>-40882139.75999999</v>
          </cell>
          <cell r="BO129">
            <v>-47927623.102499992</v>
          </cell>
          <cell r="BP129">
            <v>0</v>
          </cell>
          <cell r="BQ129">
            <v>-47927623.102499992</v>
          </cell>
          <cell r="BR129" t="str">
            <v>CF OK</v>
          </cell>
          <cell r="BT129">
            <v>0</v>
          </cell>
        </row>
        <row r="130">
          <cell r="A130" t="str">
            <v>Litigation Reserve</v>
          </cell>
          <cell r="B130" t="str">
            <v>T236</v>
          </cell>
          <cell r="C130" t="str">
            <v>A7.60</v>
          </cell>
          <cell r="D130" t="str">
            <v>Separate Schedule - J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-177367</v>
          </cell>
          <cell r="T130">
            <v>0</v>
          </cell>
          <cell r="U130">
            <v>0</v>
          </cell>
          <cell r="V130">
            <v>-358853</v>
          </cell>
          <cell r="W130">
            <v>0</v>
          </cell>
          <cell r="X130">
            <v>0</v>
          </cell>
          <cell r="Y130">
            <v>0</v>
          </cell>
          <cell r="Z130">
            <v>-84596</v>
          </cell>
          <cell r="AA130">
            <v>0</v>
          </cell>
          <cell r="AB130">
            <v>0</v>
          </cell>
          <cell r="AC130">
            <v>0</v>
          </cell>
          <cell r="AD130">
            <v>2000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-17280</v>
          </cell>
          <cell r="AL130">
            <v>0</v>
          </cell>
          <cell r="AM130">
            <v>0</v>
          </cell>
          <cell r="AN130">
            <v>-100000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-736096</v>
          </cell>
          <cell r="BO130">
            <v>-736096</v>
          </cell>
          <cell r="BP130">
            <v>0</v>
          </cell>
          <cell r="BQ130">
            <v>-736096</v>
          </cell>
          <cell r="BR130" t="str">
            <v>CF OK</v>
          </cell>
          <cell r="BT130">
            <v>0</v>
          </cell>
          <cell r="BZ130">
            <v>0</v>
          </cell>
          <cell r="CB130">
            <v>0</v>
          </cell>
          <cell r="CD130">
            <v>-736096</v>
          </cell>
          <cell r="CE130" t="e">
            <v>#REF!</v>
          </cell>
        </row>
        <row r="131">
          <cell r="A131" t="str">
            <v>MT. Vernon Privatization</v>
          </cell>
          <cell r="D131" t="str">
            <v>Separate Schedule - J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48136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48136</v>
          </cell>
          <cell r="BM131">
            <v>0</v>
          </cell>
          <cell r="BN131">
            <v>0</v>
          </cell>
          <cell r="BO131">
            <v>48136</v>
          </cell>
          <cell r="BP131">
            <v>0</v>
          </cell>
          <cell r="BQ131">
            <v>48136</v>
          </cell>
          <cell r="BR131" t="str">
            <v>CF OK</v>
          </cell>
          <cell r="BT131">
            <v>0</v>
          </cell>
        </row>
        <row r="132">
          <cell r="A132" t="str">
            <v>JE  T175  Acquisition Costs</v>
          </cell>
          <cell r="B132" t="str">
            <v>T175</v>
          </cell>
          <cell r="C132" t="str">
            <v>L2.33</v>
          </cell>
          <cell r="D132" t="str">
            <v>Separate Schedule - J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-12596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-12596</v>
          </cell>
          <cell r="BO132">
            <v>-12596</v>
          </cell>
          <cell r="BP132">
            <v>0</v>
          </cell>
          <cell r="BQ132">
            <v>-12596</v>
          </cell>
          <cell r="BR132" t="str">
            <v>CF OK</v>
          </cell>
          <cell r="BT132">
            <v>0</v>
          </cell>
        </row>
        <row r="133">
          <cell r="D133" t="str">
            <v>Separate Schedule - J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 t="str">
            <v>CF OK</v>
          </cell>
          <cell r="BT133">
            <v>0</v>
          </cell>
        </row>
        <row r="134">
          <cell r="D134" t="str">
            <v>Separate Schedule - J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 t="str">
            <v>CF OK</v>
          </cell>
          <cell r="BT134">
            <v>0</v>
          </cell>
        </row>
        <row r="135">
          <cell r="A135" t="str">
            <v>Total Temporary Differences</v>
          </cell>
          <cell r="F135">
            <v>-2391188.6998516116</v>
          </cell>
          <cell r="G135">
            <v>-69388186.992159203</v>
          </cell>
          <cell r="H135">
            <v>-385606.33923912566</v>
          </cell>
          <cell r="I135">
            <v>-560639</v>
          </cell>
          <cell r="J135">
            <v>-4984470.2674865481</v>
          </cell>
          <cell r="K135">
            <v>3871829</v>
          </cell>
          <cell r="L135">
            <v>1141538</v>
          </cell>
          <cell r="M135">
            <v>1849742</v>
          </cell>
          <cell r="N135">
            <v>-102807</v>
          </cell>
          <cell r="O135">
            <v>0</v>
          </cell>
          <cell r="P135">
            <v>-7699.3899999999994</v>
          </cell>
          <cell r="Q135">
            <v>-125233868.4126936</v>
          </cell>
          <cell r="R135">
            <v>-367195.45260417706</v>
          </cell>
          <cell r="S135">
            <v>-165834968.6006864</v>
          </cell>
          <cell r="T135">
            <v>-5481396.3424408035</v>
          </cell>
          <cell r="U135">
            <v>-5822577.9711137256</v>
          </cell>
          <cell r="V135">
            <v>-17690481.715979658</v>
          </cell>
          <cell r="W135">
            <v>-498849.53224975325</v>
          </cell>
          <cell r="X135">
            <v>4020</v>
          </cell>
          <cell r="Y135">
            <v>0</v>
          </cell>
          <cell r="Z135">
            <v>-16737946.210907029</v>
          </cell>
          <cell r="AA135">
            <v>-24646269.698207598</v>
          </cell>
          <cell r="AB135">
            <v>-4193792.1480915332</v>
          </cell>
          <cell r="AC135">
            <v>13357.395555148123</v>
          </cell>
          <cell r="AD135">
            <v>-62478841.831834093</v>
          </cell>
          <cell r="AE135">
            <v>-7321781.9416661151</v>
          </cell>
          <cell r="AF135">
            <v>-1396775.8101000001</v>
          </cell>
          <cell r="AG135">
            <v>-161014.94673166666</v>
          </cell>
          <cell r="AH135">
            <v>0</v>
          </cell>
          <cell r="AI135">
            <v>5312406.6696761046</v>
          </cell>
          <cell r="AJ135">
            <v>0</v>
          </cell>
          <cell r="AK135">
            <v>-39986293.10886991</v>
          </cell>
          <cell r="AL135">
            <v>-1603828.5191268025</v>
          </cell>
          <cell r="AM135">
            <v>-11715502.919147847</v>
          </cell>
          <cell r="AN135">
            <v>-2896734.5437658131</v>
          </cell>
          <cell r="AO135">
            <v>553249</v>
          </cell>
          <cell r="AP135">
            <v>0</v>
          </cell>
          <cell r="AQ135">
            <v>0</v>
          </cell>
          <cell r="AR135">
            <v>-1370586.18</v>
          </cell>
          <cell r="AS135">
            <v>0</v>
          </cell>
          <cell r="AT135">
            <v>0</v>
          </cell>
          <cell r="AU135">
            <v>-445322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-6730756</v>
          </cell>
          <cell r="BA135">
            <v>-557151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I135">
            <v>9184235.6696761046</v>
          </cell>
          <cell r="BJ135">
            <v>-69388186.992159203</v>
          </cell>
          <cell r="BK135">
            <v>-946245.33923912561</v>
          </cell>
          <cell r="BL135">
            <v>-6833563</v>
          </cell>
          <cell r="BM135">
            <v>-161014.94673166666</v>
          </cell>
          <cell r="BN135">
            <v>-499544464.90126783</v>
          </cell>
          <cell r="BO135">
            <v>-567689239.50972188</v>
          </cell>
          <cell r="BP135">
            <v>-557151</v>
          </cell>
          <cell r="BQ135">
            <v>-568246390.50972188</v>
          </cell>
          <cell r="BR135" t="str">
            <v>CF OK</v>
          </cell>
          <cell r="BT135">
            <v>0</v>
          </cell>
          <cell r="BY135">
            <v>0</v>
          </cell>
          <cell r="BZ135">
            <v>0</v>
          </cell>
          <cell r="CB135">
            <v>0</v>
          </cell>
          <cell r="CD135">
            <v>-523361361.40722185</v>
          </cell>
          <cell r="CE135" t="e">
            <v>#REF!</v>
          </cell>
        </row>
        <row r="137">
          <cell r="A137" t="str">
            <v>State Current Taxable Inc Before State Only Adjustment</v>
          </cell>
          <cell r="F137">
            <v>-2465306.4441884644</v>
          </cell>
          <cell r="G137">
            <v>47420763.521843493</v>
          </cell>
          <cell r="H137">
            <v>20791504.0471</v>
          </cell>
          <cell r="I137">
            <v>-542508</v>
          </cell>
          <cell r="J137">
            <v>3757986.5782656427</v>
          </cell>
          <cell r="K137">
            <v>685990.37999999989</v>
          </cell>
          <cell r="L137">
            <v>1687110.7000000011</v>
          </cell>
          <cell r="M137">
            <v>5478318.2599999998</v>
          </cell>
          <cell r="N137">
            <v>-17533.290000000095</v>
          </cell>
          <cell r="O137">
            <v>13280.59</v>
          </cell>
          <cell r="P137">
            <v>-53539.26</v>
          </cell>
          <cell r="Q137">
            <v>-108347018.63124859</v>
          </cell>
          <cell r="R137">
            <v>347026.27095887635</v>
          </cell>
          <cell r="S137">
            <v>-44384993.199586287</v>
          </cell>
          <cell r="T137">
            <v>-2504768.7253769678</v>
          </cell>
          <cell r="U137">
            <v>-1056918.3842810811</v>
          </cell>
          <cell r="V137">
            <v>-3592911.9196555484</v>
          </cell>
          <cell r="W137">
            <v>-721504.07421499991</v>
          </cell>
          <cell r="X137">
            <v>28820.5</v>
          </cell>
          <cell r="Y137">
            <v>-781.64</v>
          </cell>
          <cell r="Z137">
            <v>7490036.9671200011</v>
          </cell>
          <cell r="AA137">
            <v>6835458.1312527321</v>
          </cell>
          <cell r="AB137">
            <v>418540.39034620952</v>
          </cell>
          <cell r="AC137">
            <v>234634.78519500003</v>
          </cell>
          <cell r="AD137">
            <v>-33903270.967549637</v>
          </cell>
          <cell r="AE137">
            <v>-5771122.3256442966</v>
          </cell>
          <cell r="AF137">
            <v>1270459.8299</v>
          </cell>
          <cell r="AG137">
            <v>-222802.76673166675</v>
          </cell>
          <cell r="AH137">
            <v>0</v>
          </cell>
          <cell r="AI137">
            <v>-65923016.641666658</v>
          </cell>
          <cell r="AJ137">
            <v>-77426.509999999995</v>
          </cell>
          <cell r="AK137">
            <v>-26172275.05154375</v>
          </cell>
          <cell r="AL137">
            <v>-570060.57065792405</v>
          </cell>
          <cell r="AM137">
            <v>-8580672.0046021715</v>
          </cell>
          <cell r="AN137">
            <v>-2221123.3524303334</v>
          </cell>
          <cell r="AO137">
            <v>553249.01000011677</v>
          </cell>
          <cell r="AP137">
            <v>-4009.91</v>
          </cell>
          <cell r="AQ137">
            <v>2969824.01</v>
          </cell>
          <cell r="AR137">
            <v>173102.03000000003</v>
          </cell>
          <cell r="AS137">
            <v>-163.85</v>
          </cell>
          <cell r="AT137">
            <v>15130.07</v>
          </cell>
          <cell r="AU137">
            <v>-687378.33999999799</v>
          </cell>
          <cell r="AV137">
            <v>0</v>
          </cell>
          <cell r="AW137">
            <v>0</v>
          </cell>
          <cell r="AX137">
            <v>0</v>
          </cell>
          <cell r="AY137">
            <v>3457440.01</v>
          </cell>
          <cell r="AZ137">
            <v>-17880155.971590392</v>
          </cell>
          <cell r="BA137">
            <v>1008987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27897480.34</v>
          </cell>
          <cell r="BI137">
            <v>-62344628.761666663</v>
          </cell>
          <cell r="BJ137">
            <v>47420763.521843493</v>
          </cell>
          <cell r="BK137">
            <v>20248996.0471</v>
          </cell>
          <cell r="BL137">
            <v>-14440249.251590395</v>
          </cell>
          <cell r="BM137">
            <v>-222802.76673166675</v>
          </cell>
          <cell r="BN137">
            <v>-184837184.19794154</v>
          </cell>
          <cell r="BO137">
            <v>-194175105.40898693</v>
          </cell>
          <cell r="BP137">
            <v>1008987</v>
          </cell>
          <cell r="BQ137">
            <v>-193166118.40898693</v>
          </cell>
          <cell r="BY137">
            <v>0</v>
          </cell>
          <cell r="BZ137">
            <v>0</v>
          </cell>
          <cell r="CB137">
            <v>0</v>
          </cell>
          <cell r="CD137">
            <v>-148281089.3064869</v>
          </cell>
        </row>
        <row r="139">
          <cell r="A139" t="str">
            <v>State Only Adjustments:</v>
          </cell>
        </row>
        <row r="140">
          <cell r="A140" t="str">
            <v>State only Perm Adjustments (Provide Supporting Details)</v>
          </cell>
          <cell r="D140" t="str">
            <v>Separate Schedule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2392742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2392742</v>
          </cell>
          <cell r="BO140">
            <v>2392742</v>
          </cell>
          <cell r="BP140">
            <v>0</v>
          </cell>
          <cell r="BQ140">
            <v>2392742</v>
          </cell>
          <cell r="BR140" t="str">
            <v>CF OK</v>
          </cell>
          <cell r="BT140">
            <v>0</v>
          </cell>
          <cell r="CB140">
            <v>0</v>
          </cell>
          <cell r="CD140">
            <v>2392742</v>
          </cell>
        </row>
        <row r="141">
          <cell r="A141" t="str">
            <v>State only Temp Adjustments (Provide Supporting Details)</v>
          </cell>
          <cell r="D141" t="str">
            <v>Separate Schedule</v>
          </cell>
          <cell r="F141">
            <v>8603447.2107228339</v>
          </cell>
          <cell r="G141">
            <v>0</v>
          </cell>
          <cell r="H141">
            <v>1421395.1371000004</v>
          </cell>
          <cell r="I141">
            <v>0</v>
          </cell>
          <cell r="J141">
            <v>5385087.2509383485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114840298.37713993</v>
          </cell>
          <cell r="R141">
            <v>258346.06960312364</v>
          </cell>
          <cell r="S141">
            <v>121953594.32575457</v>
          </cell>
          <cell r="T141">
            <v>4255189.383013634</v>
          </cell>
          <cell r="U141">
            <v>0</v>
          </cell>
          <cell r="V141">
            <v>9383923.4642862119</v>
          </cell>
          <cell r="W141">
            <v>0</v>
          </cell>
          <cell r="X141">
            <v>0</v>
          </cell>
          <cell r="Y141">
            <v>0</v>
          </cell>
          <cell r="Z141">
            <v>13986882.002129339</v>
          </cell>
          <cell r="AA141">
            <v>14567735.326266732</v>
          </cell>
          <cell r="AB141">
            <v>3111954.7602644577</v>
          </cell>
          <cell r="AC141">
            <v>10063.487804999982</v>
          </cell>
          <cell r="AD141">
            <v>-2103447.69</v>
          </cell>
          <cell r="AE141">
            <v>0</v>
          </cell>
          <cell r="AF141">
            <v>311268.02098999987</v>
          </cell>
          <cell r="AG141">
            <v>309254.09059500002</v>
          </cell>
          <cell r="AH141">
            <v>0</v>
          </cell>
          <cell r="AI141">
            <v>-599.88999999999942</v>
          </cell>
          <cell r="AJ141">
            <v>0</v>
          </cell>
          <cell r="AK141">
            <v>11181175.157315083</v>
          </cell>
          <cell r="AL141">
            <v>0</v>
          </cell>
          <cell r="AM141">
            <v>4632483.6051758416</v>
          </cell>
          <cell r="AN141">
            <v>2724943.9894849993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I141">
            <v>-599.88999999999942</v>
          </cell>
          <cell r="BJ141">
            <v>0</v>
          </cell>
          <cell r="BK141">
            <v>1421395.1371000004</v>
          </cell>
          <cell r="BL141">
            <v>0</v>
          </cell>
          <cell r="BM141">
            <v>309254.09059500002</v>
          </cell>
          <cell r="BN141">
            <v>313102944.74089015</v>
          </cell>
          <cell r="BO141">
            <v>314832994.07858515</v>
          </cell>
          <cell r="BP141">
            <v>0</v>
          </cell>
          <cell r="BQ141">
            <v>314832994.07858515</v>
          </cell>
          <cell r="BR141" t="str">
            <v>CF OK</v>
          </cell>
          <cell r="BT141">
            <v>0</v>
          </cell>
          <cell r="CB141">
            <v>0</v>
          </cell>
          <cell r="CD141">
            <v>314832994.07858515</v>
          </cell>
          <cell r="DI141">
            <v>141</v>
          </cell>
        </row>
        <row r="142">
          <cell r="A142" t="str">
            <v>Domestic Dividend Received Deduction</v>
          </cell>
          <cell r="D142" t="str">
            <v>Separate Schedule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 t="str">
            <v>CF OK</v>
          </cell>
          <cell r="CB142">
            <v>0</v>
          </cell>
          <cell r="CD142">
            <v>0</v>
          </cell>
        </row>
        <row r="143">
          <cell r="A143" t="str">
            <v>Affiliated Dividends Received Deduction</v>
          </cell>
          <cell r="D143" t="str">
            <v>Separate Schedule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 t="str">
            <v>CF OK</v>
          </cell>
          <cell r="CB143">
            <v>0</v>
          </cell>
          <cell r="CD143">
            <v>0</v>
          </cell>
        </row>
        <row r="144">
          <cell r="A144" t="str">
            <v>State Current Taxable Income Before NOL</v>
          </cell>
          <cell r="F144">
            <v>6138140.7665343694</v>
          </cell>
          <cell r="G144">
            <v>47420763.521843493</v>
          </cell>
          <cell r="H144">
            <v>22212899.1842</v>
          </cell>
          <cell r="I144">
            <v>-542508</v>
          </cell>
          <cell r="J144">
            <v>9143073.8292039912</v>
          </cell>
          <cell r="K144">
            <v>685990.37999999989</v>
          </cell>
          <cell r="L144">
            <v>1687110.7000000011</v>
          </cell>
          <cell r="M144">
            <v>5478318.2599999998</v>
          </cell>
          <cell r="N144">
            <v>-17533.290000000095</v>
          </cell>
          <cell r="O144">
            <v>13280.59</v>
          </cell>
          <cell r="P144">
            <v>-53539.26</v>
          </cell>
          <cell r="Q144">
            <v>6493279.7458913326</v>
          </cell>
          <cell r="R144">
            <v>605372.34056199994</v>
          </cell>
          <cell r="S144">
            <v>77568601.126168281</v>
          </cell>
          <cell r="T144">
            <v>1750420.6576366662</v>
          </cell>
          <cell r="U144">
            <v>-1056918.3842810811</v>
          </cell>
          <cell r="V144">
            <v>5791011.5446306635</v>
          </cell>
          <cell r="W144">
            <v>-721504.07421499991</v>
          </cell>
          <cell r="X144">
            <v>28820.5</v>
          </cell>
          <cell r="Y144">
            <v>-781.64</v>
          </cell>
          <cell r="Z144">
            <v>21476918.969249338</v>
          </cell>
          <cell r="AA144">
            <v>23795935.457519464</v>
          </cell>
          <cell r="AB144">
            <v>3530495.1506106672</v>
          </cell>
          <cell r="AC144">
            <v>244698.27300000002</v>
          </cell>
          <cell r="AD144">
            <v>-36006718.657549635</v>
          </cell>
          <cell r="AE144">
            <v>-5771122.3256442966</v>
          </cell>
          <cell r="AF144">
            <v>1581727.8508899999</v>
          </cell>
          <cell r="AG144">
            <v>86451.323863333266</v>
          </cell>
          <cell r="AH144">
            <v>0</v>
          </cell>
          <cell r="AI144">
            <v>-65923616.531666659</v>
          </cell>
          <cell r="AJ144">
            <v>-77426.509999999995</v>
          </cell>
          <cell r="AK144">
            <v>-14991099.894228667</v>
          </cell>
          <cell r="AL144">
            <v>-570060.57065792405</v>
          </cell>
          <cell r="AM144">
            <v>-3948188.3994263299</v>
          </cell>
          <cell r="AN144">
            <v>503820.63705466595</v>
          </cell>
          <cell r="AO144">
            <v>553249.01000011677</v>
          </cell>
          <cell r="AP144">
            <v>-4009.91</v>
          </cell>
          <cell r="AQ144">
            <v>2969824.01</v>
          </cell>
          <cell r="AR144">
            <v>173102.03000000003</v>
          </cell>
          <cell r="AS144">
            <v>-163.85</v>
          </cell>
          <cell r="AT144">
            <v>15130.07</v>
          </cell>
          <cell r="AU144">
            <v>-687378.33999999799</v>
          </cell>
          <cell r="AV144">
            <v>0</v>
          </cell>
          <cell r="AW144">
            <v>0</v>
          </cell>
          <cell r="AX144">
            <v>0</v>
          </cell>
          <cell r="AY144">
            <v>3457440.01</v>
          </cell>
          <cell r="AZ144">
            <v>-17880155.971590392</v>
          </cell>
          <cell r="BA144">
            <v>1008987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27897480.34</v>
          </cell>
          <cell r="BI144">
            <v>-62345228.651666664</v>
          </cell>
          <cell r="BJ144">
            <v>47420763.521843493</v>
          </cell>
          <cell r="BK144">
            <v>21670391.1842</v>
          </cell>
          <cell r="BL144">
            <v>-14440249.251590395</v>
          </cell>
          <cell r="BM144">
            <v>86451.323863333266</v>
          </cell>
          <cell r="BN144">
            <v>130658502.5429486</v>
          </cell>
          <cell r="BO144">
            <v>123050630.66959822</v>
          </cell>
          <cell r="BP144">
            <v>1008987</v>
          </cell>
          <cell r="BQ144">
            <v>124059617.66959822</v>
          </cell>
          <cell r="BR144" t="str">
            <v>CF OK</v>
          </cell>
          <cell r="BY144">
            <v>0</v>
          </cell>
          <cell r="BZ144">
            <v>0</v>
          </cell>
          <cell r="CB144">
            <v>0</v>
          </cell>
          <cell r="CD144">
            <v>168944646.77209824</v>
          </cell>
        </row>
        <row r="146">
          <cell r="A146" t="str">
            <v xml:space="preserve">Less Current Year State Net Operating Loss Utilization </v>
          </cell>
          <cell r="D146" t="str">
            <v>Separate Schedule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 t="str">
            <v>CF OK</v>
          </cell>
          <cell r="CD146">
            <v>0</v>
          </cell>
        </row>
        <row r="148">
          <cell r="A148" t="str">
            <v xml:space="preserve">State Current Taxable Income After NOL </v>
          </cell>
          <cell r="F148">
            <v>6138140.7665343694</v>
          </cell>
          <cell r="G148">
            <v>47420763.521843493</v>
          </cell>
          <cell r="H148">
            <v>22212899.1842</v>
          </cell>
          <cell r="I148">
            <v>-542508</v>
          </cell>
          <cell r="J148">
            <v>9143073.8292039912</v>
          </cell>
          <cell r="K148">
            <v>685990.37999999989</v>
          </cell>
          <cell r="L148">
            <v>1687110.7000000011</v>
          </cell>
          <cell r="M148">
            <v>5478318.2599999998</v>
          </cell>
          <cell r="N148">
            <v>-17533.290000000095</v>
          </cell>
          <cell r="O148">
            <v>13280.59</v>
          </cell>
          <cell r="P148">
            <v>-53539.26</v>
          </cell>
          <cell r="Q148">
            <v>6493279.7458913326</v>
          </cell>
          <cell r="R148">
            <v>605372.34056199994</v>
          </cell>
          <cell r="S148">
            <v>77568601.126168281</v>
          </cell>
          <cell r="T148">
            <v>1750420.6576366662</v>
          </cell>
          <cell r="U148">
            <v>-1056918.3842810811</v>
          </cell>
          <cell r="V148">
            <v>5791011.5446306635</v>
          </cell>
          <cell r="W148">
            <v>-721504.07421499991</v>
          </cell>
          <cell r="X148">
            <v>28820.5</v>
          </cell>
          <cell r="Y148">
            <v>-781.64</v>
          </cell>
          <cell r="Z148">
            <v>21476918.969249338</v>
          </cell>
          <cell r="AA148">
            <v>23795935.457519464</v>
          </cell>
          <cell r="AB148">
            <v>3530495.1506106672</v>
          </cell>
          <cell r="AC148">
            <v>244698.27300000002</v>
          </cell>
          <cell r="AD148">
            <v>-36006718.657549635</v>
          </cell>
          <cell r="AE148">
            <v>-5771122.3256442966</v>
          </cell>
          <cell r="AF148">
            <v>1581727.8508899999</v>
          </cell>
          <cell r="AG148">
            <v>86451.323863333266</v>
          </cell>
          <cell r="AH148">
            <v>0</v>
          </cell>
          <cell r="AI148">
            <v>-65923616.531666659</v>
          </cell>
          <cell r="AJ148">
            <v>-77426.509999999995</v>
          </cell>
          <cell r="AK148">
            <v>-14991099.894228667</v>
          </cell>
          <cell r="AL148">
            <v>-570060.57065792405</v>
          </cell>
          <cell r="AM148">
            <v>-3948188.3994263299</v>
          </cell>
          <cell r="AN148">
            <v>503820.63705466595</v>
          </cell>
          <cell r="AO148">
            <v>553249.01000011677</v>
          </cell>
          <cell r="AP148">
            <v>-4009.91</v>
          </cell>
          <cell r="AQ148">
            <v>2969824.01</v>
          </cell>
          <cell r="AR148">
            <v>173102.03000000003</v>
          </cell>
          <cell r="AS148">
            <v>-163.85</v>
          </cell>
          <cell r="AT148">
            <v>15130.07</v>
          </cell>
          <cell r="AU148">
            <v>-687378.33999999799</v>
          </cell>
          <cell r="AV148">
            <v>0</v>
          </cell>
          <cell r="AW148">
            <v>0</v>
          </cell>
          <cell r="AX148">
            <v>0</v>
          </cell>
          <cell r="AY148">
            <v>3457440.01</v>
          </cell>
          <cell r="AZ148">
            <v>-17880155.971590392</v>
          </cell>
          <cell r="BA148">
            <v>1008987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27897480.34</v>
          </cell>
          <cell r="BI148">
            <v>-62345228.651666664</v>
          </cell>
          <cell r="BJ148">
            <v>47420763.521843493</v>
          </cell>
          <cell r="BK148">
            <v>21670391.1842</v>
          </cell>
          <cell r="BL148">
            <v>-14440249.251590395</v>
          </cell>
          <cell r="BM148">
            <v>86451.323863333266</v>
          </cell>
          <cell r="BN148">
            <v>130658502.5429486</v>
          </cell>
          <cell r="BO148">
            <v>123050630.66959822</v>
          </cell>
          <cell r="BP148">
            <v>1008987</v>
          </cell>
          <cell r="BQ148">
            <v>124059617.66959822</v>
          </cell>
          <cell r="BR148" t="str">
            <v>CF OK</v>
          </cell>
          <cell r="BY148">
            <v>0</v>
          </cell>
          <cell r="BZ148">
            <v>0</v>
          </cell>
          <cell r="CB148">
            <v>0</v>
          </cell>
          <cell r="CD148">
            <v>168944646.77209824</v>
          </cell>
        </row>
        <row r="150">
          <cell r="A150" t="str">
            <v>State Statutory Rate * Apportion % (Provide Support in Report FIle)</v>
          </cell>
          <cell r="F150">
            <v>6.3570000000000002E-2</v>
          </cell>
          <cell r="G150">
            <v>0</v>
          </cell>
          <cell r="H150">
            <v>8.022E-2</v>
          </cell>
          <cell r="I150">
            <v>8.022E-2</v>
          </cell>
          <cell r="J150">
            <v>8.6300000000000002E-2</v>
          </cell>
          <cell r="K150">
            <v>0.09</v>
          </cell>
          <cell r="L150">
            <v>0.09</v>
          </cell>
          <cell r="M150">
            <v>0.09</v>
          </cell>
          <cell r="N150">
            <v>0</v>
          </cell>
          <cell r="O150">
            <v>0.09</v>
          </cell>
          <cell r="P150">
            <v>0</v>
          </cell>
          <cell r="Q150">
            <v>0.06</v>
          </cell>
          <cell r="R150">
            <v>8.2500000000000004E-2</v>
          </cell>
          <cell r="S150">
            <v>9.9900000000000003E-2</v>
          </cell>
          <cell r="T150">
            <v>6.5000000000000002E-2</v>
          </cell>
          <cell r="U150">
            <v>0</v>
          </cell>
          <cell r="V150">
            <v>8.5000000000000006E-2</v>
          </cell>
          <cell r="W150">
            <v>0</v>
          </cell>
          <cell r="X150">
            <v>0</v>
          </cell>
          <cell r="Y150">
            <v>0</v>
          </cell>
          <cell r="Z150">
            <v>4.8000000000000001E-2</v>
          </cell>
          <cell r="AA150">
            <v>8.5000000000000006E-2</v>
          </cell>
          <cell r="AB150">
            <v>0.12</v>
          </cell>
          <cell r="AC150">
            <v>4.9500000000000002E-2</v>
          </cell>
          <cell r="AD150">
            <v>6.25E-2</v>
          </cell>
          <cell r="AE150">
            <v>0</v>
          </cell>
          <cell r="AF150">
            <v>4.8000000000000001E-2</v>
          </cell>
          <cell r="AG150">
            <v>0</v>
          </cell>
          <cell r="AI150">
            <v>0</v>
          </cell>
          <cell r="AJ150">
            <v>0.09</v>
          </cell>
          <cell r="AK150">
            <v>8.8400000000000006E-2</v>
          </cell>
          <cell r="AL150">
            <v>6.3E-2</v>
          </cell>
          <cell r="AM150">
            <v>6.9680000000000006E-2</v>
          </cell>
          <cell r="AN150">
            <v>6.4000000000000001E-2</v>
          </cell>
          <cell r="AO150">
            <v>0.09</v>
          </cell>
          <cell r="AP150">
            <v>6.9680000000000006E-2</v>
          </cell>
          <cell r="AQ150">
            <v>0.09</v>
          </cell>
          <cell r="AR150">
            <v>0.09</v>
          </cell>
          <cell r="AS150">
            <v>0</v>
          </cell>
          <cell r="AT150">
            <v>0</v>
          </cell>
          <cell r="AU150">
            <v>0.09</v>
          </cell>
          <cell r="AV150">
            <v>0.09</v>
          </cell>
          <cell r="AW150">
            <v>0.09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6.923E-2</v>
          </cell>
          <cell r="BF150">
            <v>6.1499999999999999E-2</v>
          </cell>
          <cell r="BY150">
            <v>6.1499999999999999E-2</v>
          </cell>
          <cell r="BZ150">
            <v>0</v>
          </cell>
          <cell r="CB150">
            <v>6.1499999999999999E-2</v>
          </cell>
          <cell r="DI150">
            <v>150</v>
          </cell>
        </row>
        <row r="152">
          <cell r="A152" t="str">
            <v xml:space="preserve"> State Current Tax Provision</v>
          </cell>
          <cell r="F152">
            <v>390201.60852858989</v>
          </cell>
          <cell r="G152">
            <v>0</v>
          </cell>
          <cell r="H152">
            <v>1781918.772556524</v>
          </cell>
          <cell r="I152">
            <v>-43519.991759999997</v>
          </cell>
          <cell r="J152">
            <v>789047.2714603045</v>
          </cell>
          <cell r="K152">
            <v>0</v>
          </cell>
          <cell r="L152">
            <v>151839.96300000011</v>
          </cell>
          <cell r="M152">
            <v>493048.64339999994</v>
          </cell>
          <cell r="N152">
            <v>0</v>
          </cell>
          <cell r="O152">
            <v>1195.2530999999999</v>
          </cell>
          <cell r="P152">
            <v>0</v>
          </cell>
          <cell r="Q152">
            <v>389596.78475347994</v>
          </cell>
          <cell r="R152">
            <v>49943.218096364995</v>
          </cell>
          <cell r="S152">
            <v>7749103.2525042119</v>
          </cell>
          <cell r="T152">
            <v>113777.34274638331</v>
          </cell>
          <cell r="U152">
            <v>0</v>
          </cell>
          <cell r="V152">
            <v>492235.98129360646</v>
          </cell>
          <cell r="W152">
            <v>0</v>
          </cell>
          <cell r="X152">
            <v>0</v>
          </cell>
          <cell r="Y152">
            <v>0</v>
          </cell>
          <cell r="Z152">
            <v>1030892.1105239682</v>
          </cell>
          <cell r="AA152">
            <v>2022654.5138891547</v>
          </cell>
          <cell r="AB152">
            <v>423659.41807328007</v>
          </cell>
          <cell r="AC152">
            <v>12112.564513500001</v>
          </cell>
          <cell r="AD152">
            <v>-2250419.9160968522</v>
          </cell>
          <cell r="AE152">
            <v>0</v>
          </cell>
          <cell r="AF152">
            <v>75922.936842719995</v>
          </cell>
          <cell r="AG152">
            <v>140927</v>
          </cell>
          <cell r="AH152">
            <v>0</v>
          </cell>
          <cell r="AI152">
            <v>0</v>
          </cell>
          <cell r="AJ152">
            <v>0</v>
          </cell>
          <cell r="AK152">
            <v>-1325213.2306498142</v>
          </cell>
          <cell r="AL152">
            <v>-35913.815951449214</v>
          </cell>
          <cell r="AM152">
            <v>-275109.7676720267</v>
          </cell>
          <cell r="AN152">
            <v>32244.520771498621</v>
          </cell>
          <cell r="AO152">
            <v>49792.410900010509</v>
          </cell>
          <cell r="AP152">
            <v>-279.41052880000001</v>
          </cell>
          <cell r="AQ152">
            <v>0</v>
          </cell>
          <cell r="AR152">
            <v>15579.182700000001</v>
          </cell>
          <cell r="AS152">
            <v>0</v>
          </cell>
          <cell r="AT152">
            <v>0</v>
          </cell>
          <cell r="AU152">
            <v>-61864.050599999813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1715695.04091</v>
          </cell>
          <cell r="BI152">
            <v>0</v>
          </cell>
          <cell r="BJ152">
            <v>0</v>
          </cell>
          <cell r="BK152">
            <v>1738398.7807965241</v>
          </cell>
          <cell r="BL152">
            <v>0</v>
          </cell>
          <cell r="BM152">
            <v>140927</v>
          </cell>
          <cell r="BN152">
            <v>12049741.826508129</v>
          </cell>
          <cell r="BO152">
            <v>13929067.607304653</v>
          </cell>
          <cell r="BP152">
            <v>0</v>
          </cell>
          <cell r="BQ152">
            <v>13929067.607304653</v>
          </cell>
          <cell r="BR152" t="str">
            <v>CF OK</v>
          </cell>
          <cell r="BY152">
            <v>0</v>
          </cell>
          <cell r="BZ152">
            <v>0</v>
          </cell>
          <cell r="CB152">
            <v>0</v>
          </cell>
          <cell r="CD152">
            <v>13929067.607304653</v>
          </cell>
        </row>
        <row r="153">
          <cell r="A153" t="str">
            <v xml:space="preserve"> State Current Tax Provision - Unitary</v>
          </cell>
          <cell r="D153" t="str">
            <v>Separate Schedule</v>
          </cell>
          <cell r="AH153">
            <v>-1628143.5532886055</v>
          </cell>
          <cell r="AI153">
            <v>0</v>
          </cell>
          <cell r="BI153">
            <v>-1628143.5532886055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-1628143.5532886055</v>
          </cell>
          <cell r="BP153">
            <v>0</v>
          </cell>
          <cell r="BQ153">
            <v>-1628143.5532886055</v>
          </cell>
          <cell r="BR153" t="str">
            <v>CF OK</v>
          </cell>
        </row>
        <row r="155">
          <cell r="A155" t="str">
            <v>Reclass Current Year Loss Benefit to Deferred (Verify)</v>
          </cell>
          <cell r="F155">
            <v>0</v>
          </cell>
          <cell r="G155">
            <v>0</v>
          </cell>
          <cell r="H155">
            <v>0</v>
          </cell>
          <cell r="I155">
            <v>43519.991759999997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2250419.9160968522</v>
          </cell>
          <cell r="AE155">
            <v>0</v>
          </cell>
          <cell r="AF155">
            <v>0</v>
          </cell>
          <cell r="AG155">
            <v>0</v>
          </cell>
          <cell r="AH155">
            <v>1628143.5532886055</v>
          </cell>
          <cell r="AI155">
            <v>0</v>
          </cell>
          <cell r="AJ155">
            <v>0</v>
          </cell>
          <cell r="AK155">
            <v>1325213.2306498142</v>
          </cell>
          <cell r="AL155">
            <v>35913.815951449214</v>
          </cell>
          <cell r="AM155">
            <v>275109.7676720267</v>
          </cell>
          <cell r="AN155">
            <v>0</v>
          </cell>
          <cell r="AO155">
            <v>0</v>
          </cell>
          <cell r="AP155">
            <v>279.41052880000001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61864.050599999813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I155">
            <v>1628143.5532886055</v>
          </cell>
          <cell r="BJ155">
            <v>0</v>
          </cell>
          <cell r="BK155">
            <v>43519.991759999997</v>
          </cell>
          <cell r="BL155">
            <v>0</v>
          </cell>
          <cell r="BM155">
            <v>0</v>
          </cell>
          <cell r="BN155">
            <v>3948800.1914989417</v>
          </cell>
          <cell r="BO155">
            <v>5620463.7365475474</v>
          </cell>
          <cell r="BP155">
            <v>0</v>
          </cell>
          <cell r="BQ155">
            <v>5620463.7365475474</v>
          </cell>
          <cell r="BR155">
            <v>0</v>
          </cell>
          <cell r="BY155">
            <v>0</v>
          </cell>
          <cell r="BZ155">
            <v>0</v>
          </cell>
          <cell r="CB155">
            <v>0</v>
          </cell>
          <cell r="CD155">
            <v>5620463.7365475474</v>
          </cell>
          <cell r="DI155">
            <v>155</v>
          </cell>
        </row>
        <row r="157">
          <cell r="A157" t="str">
            <v>State AMT Credit Current Utilization (coordinate with Deferred)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CB157">
            <v>0</v>
          </cell>
          <cell r="CD157">
            <v>0</v>
          </cell>
        </row>
        <row r="158">
          <cell r="A158" t="str">
            <v>Current Year State NOL Usage - See State NOL Analysis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CB158">
            <v>0</v>
          </cell>
          <cell r="CD158">
            <v>0</v>
          </cell>
        </row>
        <row r="159">
          <cell r="A159" t="str">
            <v>State NOL Reclass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CB159">
            <v>0</v>
          </cell>
          <cell r="CD159">
            <v>0</v>
          </cell>
        </row>
        <row r="160">
          <cell r="A160" t="str">
            <v>State Valuation Allowance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Y160">
            <v>0</v>
          </cell>
          <cell r="CB160">
            <v>0</v>
          </cell>
          <cell r="CD160">
            <v>0</v>
          </cell>
        </row>
        <row r="161">
          <cell r="A161" t="str">
            <v>Form 1120 P2R Current State Tax Expense - PERM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Y161">
            <v>0</v>
          </cell>
          <cell r="CB161">
            <v>0</v>
          </cell>
          <cell r="CD161">
            <v>0</v>
          </cell>
        </row>
        <row r="162">
          <cell r="A162" t="str">
            <v>Form 1120 P2R Current State Tax Expense - TEMP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Y162">
            <v>0</v>
          </cell>
          <cell r="CB162">
            <v>0</v>
          </cell>
          <cell r="CD162">
            <v>0</v>
          </cell>
        </row>
        <row r="163">
          <cell r="A163" t="str">
            <v>State TR P2R Current State Tax Expense - PERM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CB163">
            <v>0</v>
          </cell>
          <cell r="CD163">
            <v>0</v>
          </cell>
        </row>
        <row r="164">
          <cell r="A164" t="str">
            <v>Total State Current Tax Expense/(Benefit)</v>
          </cell>
          <cell r="F164">
            <v>390201.60852858989</v>
          </cell>
          <cell r="G164">
            <v>0</v>
          </cell>
          <cell r="H164">
            <v>1781918.772556524</v>
          </cell>
          <cell r="I164">
            <v>0</v>
          </cell>
          <cell r="J164">
            <v>789047.2714603045</v>
          </cell>
          <cell r="K164">
            <v>0</v>
          </cell>
          <cell r="L164">
            <v>151839.96300000011</v>
          </cell>
          <cell r="M164">
            <v>493048.64339999994</v>
          </cell>
          <cell r="N164">
            <v>0</v>
          </cell>
          <cell r="O164">
            <v>1195.2530999999999</v>
          </cell>
          <cell r="P164">
            <v>0</v>
          </cell>
          <cell r="Q164">
            <v>389596.78475347994</v>
          </cell>
          <cell r="R164">
            <v>49943.218096364995</v>
          </cell>
          <cell r="S164">
            <v>7749103.2525042119</v>
          </cell>
          <cell r="T164">
            <v>113777.34274638331</v>
          </cell>
          <cell r="U164">
            <v>0</v>
          </cell>
          <cell r="V164">
            <v>492235.98129360646</v>
          </cell>
          <cell r="W164">
            <v>0</v>
          </cell>
          <cell r="X164">
            <v>0</v>
          </cell>
          <cell r="Y164">
            <v>0</v>
          </cell>
          <cell r="Z164">
            <v>1030892.1105239682</v>
          </cell>
          <cell r="AA164">
            <v>2022654.5138891547</v>
          </cell>
          <cell r="AB164">
            <v>423659.41807328007</v>
          </cell>
          <cell r="AC164">
            <v>12112.564513500001</v>
          </cell>
          <cell r="AD164">
            <v>0</v>
          </cell>
          <cell r="AE164">
            <v>0</v>
          </cell>
          <cell r="AF164">
            <v>75922.936842719995</v>
          </cell>
          <cell r="AG164">
            <v>140927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32244.520771498621</v>
          </cell>
          <cell r="AO164">
            <v>49792.410900010509</v>
          </cell>
          <cell r="AP164">
            <v>0</v>
          </cell>
          <cell r="AQ164">
            <v>0</v>
          </cell>
          <cell r="AR164">
            <v>15579.182700000001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1715695.04091</v>
          </cell>
          <cell r="BI164">
            <v>0</v>
          </cell>
          <cell r="BJ164">
            <v>0</v>
          </cell>
          <cell r="BK164">
            <v>1781918.772556524</v>
          </cell>
          <cell r="BL164">
            <v>0</v>
          </cell>
          <cell r="BM164">
            <v>140927</v>
          </cell>
          <cell r="BN164">
            <v>15998542.01800707</v>
          </cell>
          <cell r="BO164">
            <v>17921387.790563595</v>
          </cell>
          <cell r="BP164">
            <v>0</v>
          </cell>
          <cell r="BQ164">
            <v>17921387.790563595</v>
          </cell>
          <cell r="BR164">
            <v>0</v>
          </cell>
          <cell r="BY164">
            <v>0</v>
          </cell>
          <cell r="BZ164">
            <v>0</v>
          </cell>
          <cell r="CB164">
            <v>0</v>
          </cell>
          <cell r="CD164">
            <v>19549531.3438522</v>
          </cell>
        </row>
        <row r="166">
          <cell r="A166" t="str">
            <v xml:space="preserve">Federal Current Taxable Income (Before NOL) </v>
          </cell>
          <cell r="F166">
            <v>-2855508.0527170543</v>
          </cell>
          <cell r="G166">
            <v>47420763.521843493</v>
          </cell>
          <cell r="H166">
            <v>19009585.274543475</v>
          </cell>
          <cell r="I166">
            <v>-542508</v>
          </cell>
          <cell r="J166">
            <v>2968939.3068053382</v>
          </cell>
          <cell r="K166">
            <v>685990.37999999989</v>
          </cell>
          <cell r="L166">
            <v>1535270.7370000011</v>
          </cell>
          <cell r="M166">
            <v>4985269.6165999994</v>
          </cell>
          <cell r="N166">
            <v>-17533.290000000095</v>
          </cell>
          <cell r="O166">
            <v>12085.3369</v>
          </cell>
          <cell r="P166">
            <v>-53539.26</v>
          </cell>
          <cell r="Q166">
            <v>-108736615.41600208</v>
          </cell>
          <cell r="R166">
            <v>297083.05286251137</v>
          </cell>
          <cell r="S166">
            <v>-52134096.452090502</v>
          </cell>
          <cell r="T166">
            <v>-2618546.0681233513</v>
          </cell>
          <cell r="U166">
            <v>-1056918.3842810811</v>
          </cell>
          <cell r="V166">
            <v>-4085147.900949155</v>
          </cell>
          <cell r="W166">
            <v>-721504.07421499991</v>
          </cell>
          <cell r="X166">
            <v>28820.5</v>
          </cell>
          <cell r="Y166">
            <v>-781.64</v>
          </cell>
          <cell r="Z166">
            <v>6459144.8565960331</v>
          </cell>
          <cell r="AA166">
            <v>4812803.6173635777</v>
          </cell>
          <cell r="AB166">
            <v>-5119.0277270705556</v>
          </cell>
          <cell r="AC166">
            <v>222522.22068150004</v>
          </cell>
          <cell r="AD166">
            <v>-33903270.967549637</v>
          </cell>
          <cell r="AE166">
            <v>-5771122.3256442966</v>
          </cell>
          <cell r="AF166">
            <v>1194536.89305728</v>
          </cell>
          <cell r="AG166">
            <v>-363729.76673166675</v>
          </cell>
          <cell r="AH166">
            <v>0</v>
          </cell>
          <cell r="AI166">
            <v>-65923016.641666658</v>
          </cell>
          <cell r="AJ166">
            <v>-77426.509999999995</v>
          </cell>
          <cell r="AK166">
            <v>-26172275.05154375</v>
          </cell>
          <cell r="AL166">
            <v>-570060.57065792405</v>
          </cell>
          <cell r="AM166">
            <v>-8580672.0046021715</v>
          </cell>
          <cell r="AN166">
            <v>-2253367.8732018322</v>
          </cell>
          <cell r="AO166">
            <v>503456.59910010628</v>
          </cell>
          <cell r="AP166">
            <v>-4009.91</v>
          </cell>
          <cell r="AQ166">
            <v>2969824.01</v>
          </cell>
          <cell r="AR166">
            <v>157522.84730000002</v>
          </cell>
          <cell r="AS166">
            <v>-163.85</v>
          </cell>
          <cell r="AT166">
            <v>15130.07</v>
          </cell>
          <cell r="AU166">
            <v>-687378.33999999799</v>
          </cell>
          <cell r="AV166">
            <v>0</v>
          </cell>
          <cell r="AW166">
            <v>0</v>
          </cell>
          <cell r="AX166">
            <v>0</v>
          </cell>
          <cell r="AY166">
            <v>3457440.01</v>
          </cell>
          <cell r="AZ166">
            <v>-17880155.971590392</v>
          </cell>
          <cell r="BA166">
            <v>1008987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26181785.299089998</v>
          </cell>
          <cell r="BI166">
            <v>-62344628.761666663</v>
          </cell>
          <cell r="BJ166">
            <v>47420763.521843493</v>
          </cell>
          <cell r="BK166">
            <v>18467077.274543475</v>
          </cell>
          <cell r="BL166">
            <v>-14440249.251590395</v>
          </cell>
          <cell r="BM166">
            <v>-363729.76673166675</v>
          </cell>
          <cell r="BN166">
            <v>-200835726.21594861</v>
          </cell>
          <cell r="BO166">
            <v>-212096493.19955051</v>
          </cell>
          <cell r="BP166">
            <v>1008987</v>
          </cell>
          <cell r="BQ166">
            <v>-211087506.19955051</v>
          </cell>
          <cell r="BR166">
            <v>0</v>
          </cell>
          <cell r="BY166">
            <v>0</v>
          </cell>
          <cell r="BZ166">
            <v>0</v>
          </cell>
          <cell r="CB166">
            <v>0</v>
          </cell>
          <cell r="CD166">
            <v>-167830620.6503391</v>
          </cell>
        </row>
        <row r="168">
          <cell r="A168" t="str">
            <v>Less Current Year Capital Loss Utilization</v>
          </cell>
          <cell r="D168" t="str">
            <v>Separate Schedule</v>
          </cell>
          <cell r="AZ168">
            <v>0</v>
          </cell>
          <cell r="BA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CD168">
            <v>0</v>
          </cell>
        </row>
        <row r="170">
          <cell r="A170" t="str">
            <v xml:space="preserve">Federal Current Taxable Income (After NOL) </v>
          </cell>
          <cell r="F170">
            <v>-2855508.0527170543</v>
          </cell>
          <cell r="G170">
            <v>47420763.521843493</v>
          </cell>
          <cell r="H170">
            <v>19009585.274543475</v>
          </cell>
          <cell r="I170">
            <v>-542508</v>
          </cell>
          <cell r="J170">
            <v>2968939.3068053382</v>
          </cell>
          <cell r="K170">
            <v>685990.37999999989</v>
          </cell>
          <cell r="L170">
            <v>1535270.7370000011</v>
          </cell>
          <cell r="M170">
            <v>4985269.6165999994</v>
          </cell>
          <cell r="N170">
            <v>-17533.290000000095</v>
          </cell>
          <cell r="O170">
            <v>12085.3369</v>
          </cell>
          <cell r="P170">
            <v>-53539.26</v>
          </cell>
          <cell r="Q170">
            <v>-108736615.41600208</v>
          </cell>
          <cell r="R170">
            <v>297083.05286251137</v>
          </cell>
          <cell r="S170">
            <v>-52134096.452090502</v>
          </cell>
          <cell r="T170">
            <v>-2618546.0681233513</v>
          </cell>
          <cell r="U170">
            <v>-1056918.3842810811</v>
          </cell>
          <cell r="V170">
            <v>-4085147.900949155</v>
          </cell>
          <cell r="W170">
            <v>-721504.07421499991</v>
          </cell>
          <cell r="X170">
            <v>28820.5</v>
          </cell>
          <cell r="Y170">
            <v>-781.64</v>
          </cell>
          <cell r="Z170">
            <v>6459144.8565960331</v>
          </cell>
          <cell r="AA170">
            <v>4812803.6173635777</v>
          </cell>
          <cell r="AB170">
            <v>-5119.0277270705556</v>
          </cell>
          <cell r="AC170">
            <v>222522.22068150004</v>
          </cell>
          <cell r="AD170">
            <v>-33903270.967549637</v>
          </cell>
          <cell r="AE170">
            <v>-5771122.3256442966</v>
          </cell>
          <cell r="AF170">
            <v>1194536.89305728</v>
          </cell>
          <cell r="AG170">
            <v>-363729.76673166675</v>
          </cell>
          <cell r="AH170">
            <v>0</v>
          </cell>
          <cell r="AI170">
            <v>-65923016.641666658</v>
          </cell>
          <cell r="AJ170">
            <v>-77426.509999999995</v>
          </cell>
          <cell r="AK170">
            <v>-26172275.05154375</v>
          </cell>
          <cell r="AL170">
            <v>-570060.57065792405</v>
          </cell>
          <cell r="AM170">
            <v>-8580672.0046021715</v>
          </cell>
          <cell r="AN170">
            <v>-2253367.8732018322</v>
          </cell>
          <cell r="AO170">
            <v>503456.59910010628</v>
          </cell>
          <cell r="AP170">
            <v>-4009.91</v>
          </cell>
          <cell r="AQ170">
            <v>2969824.01</v>
          </cell>
          <cell r="AR170">
            <v>157522.84730000002</v>
          </cell>
          <cell r="AS170">
            <v>-163.85</v>
          </cell>
          <cell r="AT170">
            <v>15130.07</v>
          </cell>
          <cell r="AU170">
            <v>-687378.33999999799</v>
          </cell>
          <cell r="AV170">
            <v>0</v>
          </cell>
          <cell r="AW170">
            <v>0</v>
          </cell>
          <cell r="AX170">
            <v>0</v>
          </cell>
          <cell r="AY170">
            <v>3457440.01</v>
          </cell>
          <cell r="AZ170">
            <v>-17880155.971590392</v>
          </cell>
          <cell r="BA170">
            <v>1008987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26181785.299089998</v>
          </cell>
          <cell r="BI170">
            <v>-62344628.761666663</v>
          </cell>
          <cell r="BJ170">
            <v>47420763.521843493</v>
          </cell>
          <cell r="BK170">
            <v>18467077.274543475</v>
          </cell>
          <cell r="BL170">
            <v>-14440249.251590395</v>
          </cell>
          <cell r="BM170">
            <v>-363729.76673166675</v>
          </cell>
          <cell r="BN170">
            <v>-200835726.21594861</v>
          </cell>
          <cell r="BO170">
            <v>-212096493.19955051</v>
          </cell>
          <cell r="BP170">
            <v>1008987</v>
          </cell>
          <cell r="BQ170">
            <v>-211087506.19955051</v>
          </cell>
          <cell r="BR170">
            <v>0</v>
          </cell>
          <cell r="BT170" t="str">
            <v>FIT NOL Test</v>
          </cell>
          <cell r="BU170" t="str">
            <v>US CY Loss?</v>
          </cell>
          <cell r="BV170" t="str">
            <v>CD CY Loss?</v>
          </cell>
          <cell r="BY170">
            <v>0</v>
          </cell>
          <cell r="BZ170">
            <v>0</v>
          </cell>
          <cell r="CB170">
            <v>0</v>
          </cell>
          <cell r="CD170">
            <v>-167830620.6503391</v>
          </cell>
        </row>
        <row r="172">
          <cell r="A172" t="str">
            <v>Reclass Current Year Loss Benefit to Deferred (Verify)</v>
          </cell>
          <cell r="F172">
            <v>1807812.2090557572</v>
          </cell>
          <cell r="G172">
            <v>0</v>
          </cell>
          <cell r="H172">
            <v>0</v>
          </cell>
          <cell r="I172">
            <v>343459.92650142295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11100.264871169027</v>
          </cell>
          <cell r="O172">
            <v>0</v>
          </cell>
          <cell r="P172">
            <v>33895.51915278774</v>
          </cell>
          <cell r="Q172">
            <v>68840772.742141262</v>
          </cell>
          <cell r="R172">
            <v>0</v>
          </cell>
          <cell r="S172">
            <v>33005915.001535639</v>
          </cell>
          <cell r="T172">
            <v>1657792.4013991246</v>
          </cell>
          <cell r="U172">
            <v>669131.35029010219</v>
          </cell>
          <cell r="V172">
            <v>2586292.9169845218</v>
          </cell>
          <cell r="W172">
            <v>456781.71805827942</v>
          </cell>
          <cell r="X172">
            <v>0</v>
          </cell>
          <cell r="Y172">
            <v>494.85356335864577</v>
          </cell>
          <cell r="Z172">
            <v>0</v>
          </cell>
          <cell r="AA172">
            <v>0</v>
          </cell>
          <cell r="AB172">
            <v>3240.8386362936567</v>
          </cell>
          <cell r="AC172">
            <v>0</v>
          </cell>
          <cell r="AD172">
            <v>21464042.843004018</v>
          </cell>
          <cell r="AE172">
            <v>3653677.4569158629</v>
          </cell>
          <cell r="AF172">
            <v>0</v>
          </cell>
          <cell r="AG172">
            <v>230276.04928966574</v>
          </cell>
          <cell r="AH172">
            <v>0</v>
          </cell>
          <cell r="AI172">
            <v>41735632.378691025</v>
          </cell>
          <cell r="AJ172">
            <v>49018.453983833759</v>
          </cell>
          <cell r="AK172">
            <v>16569576.237729657</v>
          </cell>
          <cell r="AL172">
            <v>360903.36308317998</v>
          </cell>
          <cell r="AM172">
            <v>5432393.5795112317</v>
          </cell>
          <cell r="AN172">
            <v>1426599.357263983</v>
          </cell>
          <cell r="AO172">
            <v>0</v>
          </cell>
          <cell r="AP172">
            <v>2538.660063772923</v>
          </cell>
          <cell r="AQ172">
            <v>0</v>
          </cell>
          <cell r="AR172">
            <v>0</v>
          </cell>
          <cell r="AS172">
            <v>103.7328646900288</v>
          </cell>
          <cell r="AT172">
            <v>0</v>
          </cell>
          <cell r="AU172">
            <v>435176.83450763748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11319864.510452222</v>
          </cell>
          <cell r="BA172">
            <v>541838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I172">
            <v>41784650.832674861</v>
          </cell>
          <cell r="BJ172">
            <v>0</v>
          </cell>
          <cell r="BK172">
            <v>343459.92650142295</v>
          </cell>
          <cell r="BL172">
            <v>11330964.775323391</v>
          </cell>
          <cell r="BM172">
            <v>230276.04928966574</v>
          </cell>
          <cell r="BN172">
            <v>158407141.61576116</v>
          </cell>
          <cell r="BO172">
            <v>212096493.19955051</v>
          </cell>
          <cell r="BP172">
            <v>541838</v>
          </cell>
          <cell r="BQ172">
            <v>212638331.19955051</v>
          </cell>
          <cell r="BR172">
            <v>0</v>
          </cell>
          <cell r="BT172" t="str">
            <v>CY US Loss (Est 1120 Tax Loss Prior to AMT)</v>
          </cell>
          <cell r="BU172">
            <v>-212096493.19955051</v>
          </cell>
          <cell r="BY172">
            <v>0</v>
          </cell>
          <cell r="BZ172">
            <v>0</v>
          </cell>
          <cell r="CB172">
            <v>0</v>
          </cell>
          <cell r="CD172">
            <v>212638331.19955051</v>
          </cell>
          <cell r="DI172">
            <v>172</v>
          </cell>
        </row>
        <row r="173">
          <cell r="A173" t="str">
            <v>Reclass Current Year NOL Usage from Deferred - Utilization (Verify)</v>
          </cell>
          <cell r="D173" t="str">
            <v>Separate Schedule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-260947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-260947</v>
          </cell>
          <cell r="BQ173">
            <v>-260947</v>
          </cell>
          <cell r="BR173" t="str">
            <v xml:space="preserve"> </v>
          </cell>
          <cell r="BY173" t="e">
            <v>#REF!</v>
          </cell>
          <cell r="BZ173" t="e">
            <v>#REF!</v>
          </cell>
          <cell r="CB173" t="e">
            <v>#REF!</v>
          </cell>
          <cell r="CD173" t="e">
            <v>#REF!</v>
          </cell>
          <cell r="DI173">
            <v>173</v>
          </cell>
        </row>
        <row r="174">
          <cell r="BT174" t="str">
            <v>US Profit Co's</v>
          </cell>
          <cell r="BU174">
            <v>122917974.14974333</v>
          </cell>
        </row>
        <row r="175">
          <cell r="A175" t="str">
            <v>FCTI</v>
          </cell>
          <cell r="F175">
            <v>-1047695.8436612971</v>
          </cell>
          <cell r="G175">
            <v>47420763.521843493</v>
          </cell>
          <cell r="H175">
            <v>19009585.274543475</v>
          </cell>
          <cell r="I175">
            <v>-199048.07349857705</v>
          </cell>
          <cell r="J175">
            <v>2968939.3068053382</v>
          </cell>
          <cell r="K175">
            <v>685990.37999999989</v>
          </cell>
          <cell r="L175">
            <v>1535270.7370000011</v>
          </cell>
          <cell r="M175">
            <v>4985269.6165999994</v>
          </cell>
          <cell r="N175">
            <v>-6433.0251288310683</v>
          </cell>
          <cell r="O175">
            <v>12085.3369</v>
          </cell>
          <cell r="P175">
            <v>-19643.740847212262</v>
          </cell>
          <cell r="Q175">
            <v>-39895842.673860818</v>
          </cell>
          <cell r="R175">
            <v>297083.05286251137</v>
          </cell>
          <cell r="S175">
            <v>-19128181.450554863</v>
          </cell>
          <cell r="T175">
            <v>-960753.66672422667</v>
          </cell>
          <cell r="U175">
            <v>-387787.03399097896</v>
          </cell>
          <cell r="V175">
            <v>-1498854.9839646332</v>
          </cell>
          <cell r="W175">
            <v>-264722.35615672049</v>
          </cell>
          <cell r="X175">
            <v>28820.5</v>
          </cell>
          <cell r="Y175">
            <v>-286.78643664135421</v>
          </cell>
          <cell r="Z175">
            <v>6459144.8565960331</v>
          </cell>
          <cell r="AA175">
            <v>4812803.6173635777</v>
          </cell>
          <cell r="AB175">
            <v>-1878.1890907768989</v>
          </cell>
          <cell r="AC175">
            <v>222522.22068150004</v>
          </cell>
          <cell r="AD175">
            <v>-12439228.124545619</v>
          </cell>
          <cell r="AE175">
            <v>-2117444.8687284337</v>
          </cell>
          <cell r="AF175">
            <v>1194536.89305728</v>
          </cell>
          <cell r="AG175">
            <v>-133453.71744200101</v>
          </cell>
          <cell r="AH175">
            <v>0</v>
          </cell>
          <cell r="AI175">
            <v>-24187384.262975633</v>
          </cell>
          <cell r="AJ175">
            <v>-28408.056016166236</v>
          </cell>
          <cell r="AK175">
            <v>-9602698.8138140924</v>
          </cell>
          <cell r="AL175">
            <v>-209157.20757474407</v>
          </cell>
          <cell r="AM175">
            <v>-3148278.4250909397</v>
          </cell>
          <cell r="AN175">
            <v>-826768.51593784918</v>
          </cell>
          <cell r="AO175">
            <v>503456.59910010628</v>
          </cell>
          <cell r="AP175">
            <v>-1471.2499362270769</v>
          </cell>
          <cell r="AQ175">
            <v>2969824.01</v>
          </cell>
          <cell r="AR175">
            <v>157522.84730000002</v>
          </cell>
          <cell r="AS175">
            <v>-60.117135309971189</v>
          </cell>
          <cell r="AT175">
            <v>15130.07</v>
          </cell>
          <cell r="AU175">
            <v>-252201.50549236051</v>
          </cell>
          <cell r="AV175">
            <v>0</v>
          </cell>
          <cell r="AW175">
            <v>0</v>
          </cell>
          <cell r="AX175">
            <v>0</v>
          </cell>
          <cell r="AY175">
            <v>3457440.01</v>
          </cell>
          <cell r="AZ175">
            <v>-6560291.4611381702</v>
          </cell>
          <cell r="BA175">
            <v>1289878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26181785.299089998</v>
          </cell>
          <cell r="BI175">
            <v>-20559977.928991802</v>
          </cell>
          <cell r="BJ175">
            <v>47420763.521843493</v>
          </cell>
          <cell r="BK175">
            <v>18810537.201044898</v>
          </cell>
          <cell r="BL175">
            <v>-3109284.4762670016</v>
          </cell>
          <cell r="BM175">
            <v>-133453.71744200101</v>
          </cell>
          <cell r="BN175">
            <v>-42428584.600187421</v>
          </cell>
          <cell r="BO175">
            <v>1.6391277313232422E-7</v>
          </cell>
          <cell r="BP175">
            <v>1289878</v>
          </cell>
          <cell r="BQ175">
            <v>1289878.0000001639</v>
          </cell>
          <cell r="BR175">
            <v>0</v>
          </cell>
          <cell r="BT175" t="str">
            <v>US Loss Co's</v>
          </cell>
          <cell r="BU175">
            <v>-335014467.34929365</v>
          </cell>
          <cell r="BY175" t="e">
            <v>#REF!</v>
          </cell>
          <cell r="BZ175" t="e">
            <v>#REF!</v>
          </cell>
          <cell r="CB175" t="e">
            <v>#REF!</v>
          </cell>
          <cell r="CD175" t="e">
            <v>#REF!</v>
          </cell>
        </row>
        <row r="177">
          <cell r="A177" t="str">
            <v>Federal Statutory Rate</v>
          </cell>
          <cell r="F177">
            <v>0.35</v>
          </cell>
          <cell r="G177">
            <v>0.35</v>
          </cell>
          <cell r="H177">
            <v>0.35</v>
          </cell>
          <cell r="I177">
            <v>0.35</v>
          </cell>
          <cell r="J177">
            <v>0.35</v>
          </cell>
          <cell r="K177">
            <v>0.35</v>
          </cell>
          <cell r="L177">
            <v>0.35</v>
          </cell>
          <cell r="M177">
            <v>0.35</v>
          </cell>
          <cell r="N177">
            <v>0.35</v>
          </cell>
          <cell r="O177">
            <v>0.35</v>
          </cell>
          <cell r="P177">
            <v>0.35</v>
          </cell>
          <cell r="Q177">
            <v>0.35</v>
          </cell>
          <cell r="R177">
            <v>0.35</v>
          </cell>
          <cell r="S177">
            <v>0.35</v>
          </cell>
          <cell r="T177">
            <v>0.35</v>
          </cell>
          <cell r="U177">
            <v>0.35</v>
          </cell>
          <cell r="V177">
            <v>0.35</v>
          </cell>
          <cell r="W177">
            <v>0.35</v>
          </cell>
          <cell r="X177">
            <v>0.35</v>
          </cell>
          <cell r="Y177">
            <v>0.35</v>
          </cell>
          <cell r="Z177">
            <v>0.35</v>
          </cell>
          <cell r="AA177">
            <v>0.35</v>
          </cell>
          <cell r="AB177">
            <v>0.35</v>
          </cell>
          <cell r="AC177">
            <v>0.35</v>
          </cell>
          <cell r="AD177">
            <v>0.35</v>
          </cell>
          <cell r="AE177">
            <v>0.35</v>
          </cell>
          <cell r="AF177">
            <v>0.35</v>
          </cell>
          <cell r="AG177">
            <v>0.35</v>
          </cell>
          <cell r="AH177">
            <v>0.35</v>
          </cell>
          <cell r="AI177">
            <v>0.35</v>
          </cell>
          <cell r="AJ177">
            <v>0.35</v>
          </cell>
          <cell r="AK177">
            <v>0.35</v>
          </cell>
          <cell r="AL177">
            <v>0.35</v>
          </cell>
          <cell r="AM177">
            <v>0.35</v>
          </cell>
          <cell r="AN177">
            <v>0.35</v>
          </cell>
          <cell r="AO177">
            <v>0.35</v>
          </cell>
          <cell r="AP177">
            <v>0.35</v>
          </cell>
          <cell r="AQ177">
            <v>0.35</v>
          </cell>
          <cell r="AR177">
            <v>0.35</v>
          </cell>
          <cell r="AS177">
            <v>0.35</v>
          </cell>
          <cell r="AT177">
            <v>0.35</v>
          </cell>
          <cell r="AU177">
            <v>0.35</v>
          </cell>
          <cell r="AV177">
            <v>0.35</v>
          </cell>
          <cell r="AW177">
            <v>0.35</v>
          </cell>
          <cell r="AX177">
            <v>0.35</v>
          </cell>
          <cell r="AY177">
            <v>0.35</v>
          </cell>
          <cell r="AZ177">
            <v>0.35</v>
          </cell>
          <cell r="BA177">
            <v>0.33</v>
          </cell>
          <cell r="BB177">
            <v>0.33</v>
          </cell>
          <cell r="BC177">
            <v>0.39</v>
          </cell>
          <cell r="BD177">
            <v>0.35</v>
          </cell>
          <cell r="BE177">
            <v>0.35</v>
          </cell>
          <cell r="BF177">
            <v>0.35</v>
          </cell>
          <cell r="BT177" t="str">
            <v>Carry Back Amount - Manual entry to leave CB benefit in Current</v>
          </cell>
          <cell r="BU177">
            <v>0</v>
          </cell>
        </row>
        <row r="178">
          <cell r="BT178" t="str">
            <v>Reclass to Deferred - See Q</v>
          </cell>
          <cell r="BU178">
            <v>-212096493.19955051</v>
          </cell>
        </row>
        <row r="179">
          <cell r="A179" t="str">
            <v>Federal Current Tax Provision</v>
          </cell>
          <cell r="F179">
            <v>-366693.54528145399</v>
          </cell>
          <cell r="G179">
            <v>16597267.232645221</v>
          </cell>
          <cell r="H179">
            <v>6653354.8460902162</v>
          </cell>
          <cell r="I179">
            <v>-69666.825724501963</v>
          </cell>
          <cell r="J179">
            <v>1039128.7573818683</v>
          </cell>
          <cell r="K179">
            <v>240096.63299999994</v>
          </cell>
          <cell r="L179">
            <v>537344.75795000035</v>
          </cell>
          <cell r="M179">
            <v>1744844.3658099996</v>
          </cell>
          <cell r="N179">
            <v>-2251.5587950908739</v>
          </cell>
          <cell r="O179">
            <v>4229.8679149999998</v>
          </cell>
          <cell r="P179">
            <v>-6875.3092965242913</v>
          </cell>
          <cell r="Q179">
            <v>-13963544.935851285</v>
          </cell>
          <cell r="R179">
            <v>103979.06850187897</v>
          </cell>
          <cell r="S179">
            <v>-6694863.5076942015</v>
          </cell>
          <cell r="T179">
            <v>-336263.78335347929</v>
          </cell>
          <cell r="U179">
            <v>-135725.46189684264</v>
          </cell>
          <cell r="V179">
            <v>-524599.24438762164</v>
          </cell>
          <cell r="W179">
            <v>-92652.824654852171</v>
          </cell>
          <cell r="X179">
            <v>10087.174999999999</v>
          </cell>
          <cell r="Y179">
            <v>-100.37525282447398</v>
          </cell>
          <cell r="Z179">
            <v>2260700.6998086115</v>
          </cell>
          <cell r="AA179">
            <v>1684481.2660772521</v>
          </cell>
          <cell r="AB179">
            <v>-657.36618177191451</v>
          </cell>
          <cell r="AC179">
            <v>77882.777238525014</v>
          </cell>
          <cell r="AD179">
            <v>-4353729.8435909664</v>
          </cell>
          <cell r="AE179">
            <v>-741105.70405495178</v>
          </cell>
          <cell r="AF179">
            <v>418087.91257004795</v>
          </cell>
          <cell r="AG179">
            <v>-46708.801104700353</v>
          </cell>
          <cell r="AH179">
            <v>0</v>
          </cell>
          <cell r="AI179">
            <v>-8465584.4920414705</v>
          </cell>
          <cell r="AJ179">
            <v>-9942.8196056581819</v>
          </cell>
          <cell r="AK179">
            <v>-3360944.5848349323</v>
          </cell>
          <cell r="AL179">
            <v>-73205.022651160412</v>
          </cell>
          <cell r="AM179">
            <v>-1101897.4487818289</v>
          </cell>
          <cell r="AN179">
            <v>-289368.98057824717</v>
          </cell>
          <cell r="AO179">
            <v>176209.80968503718</v>
          </cell>
          <cell r="AP179">
            <v>-514.93747767947684</v>
          </cell>
          <cell r="AQ179">
            <v>1039438.4034999999</v>
          </cell>
          <cell r="AR179">
            <v>55132.996555000005</v>
          </cell>
          <cell r="AS179">
            <v>-21.040997358489914</v>
          </cell>
          <cell r="AT179">
            <v>5295.5244999999995</v>
          </cell>
          <cell r="AU179">
            <v>-88270.526922326171</v>
          </cell>
          <cell r="AV179">
            <v>0</v>
          </cell>
          <cell r="AW179">
            <v>0</v>
          </cell>
          <cell r="AX179">
            <v>0</v>
          </cell>
          <cell r="AY179">
            <v>1210104.0034999999</v>
          </cell>
          <cell r="AZ179">
            <v>-2296102.0113983592</v>
          </cell>
          <cell r="BA179">
            <v>425659.74000000005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9163624.8546814993</v>
          </cell>
          <cell r="BI179">
            <v>-7195992.2751471279</v>
          </cell>
          <cell r="BJ179">
            <v>16597267.232645221</v>
          </cell>
          <cell r="BK179">
            <v>6583688.0203657141</v>
          </cell>
          <cell r="BL179">
            <v>-1088249.5666934501</v>
          </cell>
          <cell r="BM179">
            <v>-46708.801104700353</v>
          </cell>
          <cell r="BN179">
            <v>-14850004.610065591</v>
          </cell>
          <cell r="BO179">
            <v>6.7055225372314453E-8</v>
          </cell>
          <cell r="BP179">
            <v>114936.84</v>
          </cell>
          <cell r="BQ179">
            <v>114936.84000006705</v>
          </cell>
        </row>
        <row r="181">
          <cell r="A181" t="str">
            <v>AMT Tax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CB181">
            <v>0</v>
          </cell>
          <cell r="CD181">
            <v>0</v>
          </cell>
        </row>
        <row r="182">
          <cell r="A182" t="str">
            <v>AMT Credit Current Utilization (coordinate with Deferred)</v>
          </cell>
          <cell r="D182" t="str">
            <v>Must agree to F2 W/Ps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CB182">
            <v>0</v>
          </cell>
          <cell r="CD182">
            <v>0</v>
          </cell>
        </row>
        <row r="183">
          <cell r="BR183">
            <v>0</v>
          </cell>
        </row>
        <row r="184">
          <cell r="A184" t="str">
            <v>Other Federal Adjustments/Credits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CB184">
            <v>0</v>
          </cell>
          <cell r="CD184">
            <v>0</v>
          </cell>
        </row>
        <row r="185">
          <cell r="A185" t="str">
            <v>Other Federal Adjustments/Credits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CB185">
            <v>0</v>
          </cell>
          <cell r="CD185">
            <v>0</v>
          </cell>
        </row>
        <row r="186">
          <cell r="BR186">
            <v>0</v>
          </cell>
        </row>
        <row r="187">
          <cell r="A187" t="str">
            <v>Prior Year Flow-Through State Tax Expense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CD187" t="e">
            <v>#REF!</v>
          </cell>
        </row>
        <row r="188">
          <cell r="BR188">
            <v>0</v>
          </cell>
          <cell r="CD188" t="e">
            <v>#REF!</v>
          </cell>
        </row>
        <row r="189">
          <cell r="A189" t="str">
            <v xml:space="preserve">Other Federal Tax Expense 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CD189" t="e">
            <v>#REF!</v>
          </cell>
        </row>
        <row r="190">
          <cell r="A190" t="str">
            <v xml:space="preserve">Other Federal Tax Expense 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Y190">
            <v>0</v>
          </cell>
          <cell r="CB190">
            <v>0</v>
          </cell>
          <cell r="CD190">
            <v>0</v>
          </cell>
        </row>
        <row r="191">
          <cell r="A191" t="str">
            <v>Total Federal Current Tax/(Benefit)</v>
          </cell>
          <cell r="F191">
            <v>-366693.54528145399</v>
          </cell>
          <cell r="G191">
            <v>16597267.232645221</v>
          </cell>
          <cell r="H191">
            <v>6653354.8460902162</v>
          </cell>
          <cell r="I191">
            <v>-69666.825724501963</v>
          </cell>
          <cell r="J191">
            <v>1039128.7573818683</v>
          </cell>
          <cell r="K191">
            <v>240096.63299999994</v>
          </cell>
          <cell r="L191">
            <v>537344.75795000035</v>
          </cell>
          <cell r="M191">
            <v>1744844.3658099996</v>
          </cell>
          <cell r="N191">
            <v>-2251.5587950908739</v>
          </cell>
          <cell r="O191">
            <v>4229.8679149999998</v>
          </cell>
          <cell r="P191">
            <v>-6875.3092965242913</v>
          </cell>
          <cell r="Q191">
            <v>-13963544.935851285</v>
          </cell>
          <cell r="R191">
            <v>103979.06850187897</v>
          </cell>
          <cell r="S191">
            <v>-6694863.5076942015</v>
          </cell>
          <cell r="T191">
            <v>-336263.78335347929</v>
          </cell>
          <cell r="U191">
            <v>-135725.46189684264</v>
          </cell>
          <cell r="V191">
            <v>-524599.24438762164</v>
          </cell>
          <cell r="W191">
            <v>-92652.824654852171</v>
          </cell>
          <cell r="X191">
            <v>10087.174999999999</v>
          </cell>
          <cell r="Y191">
            <v>-100.37525282447398</v>
          </cell>
          <cell r="Z191">
            <v>2260700.6998086115</v>
          </cell>
          <cell r="AA191">
            <v>1684481.2660772521</v>
          </cell>
          <cell r="AB191">
            <v>-657.36618177191451</v>
          </cell>
          <cell r="AC191">
            <v>77882.777238525014</v>
          </cell>
          <cell r="AD191">
            <v>-4353729.8435909664</v>
          </cell>
          <cell r="AE191">
            <v>-741105.70405495178</v>
          </cell>
          <cell r="AF191">
            <v>418087.91257004795</v>
          </cell>
          <cell r="AG191">
            <v>-46708.801104700353</v>
          </cell>
          <cell r="AH191">
            <v>0</v>
          </cell>
          <cell r="AI191">
            <v>-8465584.4920414705</v>
          </cell>
          <cell r="AJ191">
            <v>-9942.8196056581819</v>
          </cell>
          <cell r="AK191">
            <v>-3360944.5848349323</v>
          </cell>
          <cell r="AL191">
            <v>-73205.022651160412</v>
          </cell>
          <cell r="AM191">
            <v>-1101897.4487818289</v>
          </cell>
          <cell r="AN191">
            <v>-289368.98057824717</v>
          </cell>
          <cell r="AO191">
            <v>176209.80968503718</v>
          </cell>
          <cell r="AP191">
            <v>-514.93747767947684</v>
          </cell>
          <cell r="AQ191">
            <v>1039438.4034999999</v>
          </cell>
          <cell r="AR191">
            <v>55132.996555000005</v>
          </cell>
          <cell r="AS191">
            <v>-21.040997358489914</v>
          </cell>
          <cell r="AT191">
            <v>5295.5244999999995</v>
          </cell>
          <cell r="AU191">
            <v>-88270.526922326171</v>
          </cell>
          <cell r="AV191">
            <v>0</v>
          </cell>
          <cell r="AW191">
            <v>0</v>
          </cell>
          <cell r="AX191">
            <v>0</v>
          </cell>
          <cell r="AY191">
            <v>1210104.0034999999</v>
          </cell>
          <cell r="AZ191">
            <v>-2296102.0113983592</v>
          </cell>
          <cell r="BA191">
            <v>425659.74000000005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9163624.8546814993</v>
          </cell>
          <cell r="BI191">
            <v>-7195992.2751471279</v>
          </cell>
          <cell r="BJ191">
            <v>16597267.232645221</v>
          </cell>
          <cell r="BK191">
            <v>6583688.0203657141</v>
          </cell>
          <cell r="BL191">
            <v>-1088249.5666934501</v>
          </cell>
          <cell r="BM191">
            <v>-46708.801104700353</v>
          </cell>
          <cell r="BN191">
            <v>-14850004.610065591</v>
          </cell>
          <cell r="BO191">
            <v>6.7055225372314453E-8</v>
          </cell>
          <cell r="BP191">
            <v>114936.84</v>
          </cell>
          <cell r="BQ191">
            <v>114936.84000006705</v>
          </cell>
          <cell r="BR191">
            <v>-310723</v>
          </cell>
          <cell r="BY191" t="e">
            <v>#REF!</v>
          </cell>
          <cell r="BZ191" t="e">
            <v>#REF!</v>
          </cell>
          <cell r="CB191" t="e">
            <v>#REF!</v>
          </cell>
          <cell r="CD191" t="e">
            <v>#REF!</v>
          </cell>
        </row>
        <row r="194">
          <cell r="A194" t="str">
            <v>Curent Expense for Footnote:</v>
          </cell>
          <cell r="CB194">
            <v>0</v>
          </cell>
          <cell r="CD194">
            <v>0</v>
          </cell>
        </row>
        <row r="196">
          <cell r="A196" t="str">
            <v>Current Federal Tax Expense/(Benefit)</v>
          </cell>
          <cell r="F196">
            <v>-366693.54528145399</v>
          </cell>
          <cell r="G196">
            <v>16597267.232645221</v>
          </cell>
          <cell r="H196">
            <v>6653354.8460902162</v>
          </cell>
          <cell r="I196">
            <v>-69666.825724501963</v>
          </cell>
          <cell r="J196">
            <v>1039128.7573818683</v>
          </cell>
          <cell r="K196">
            <v>240096.63299999994</v>
          </cell>
          <cell r="L196">
            <v>537344.75795000035</v>
          </cell>
          <cell r="M196">
            <v>1744844.3658099996</v>
          </cell>
          <cell r="N196">
            <v>-2251.5587950908739</v>
          </cell>
          <cell r="O196">
            <v>4229.8679149999998</v>
          </cell>
          <cell r="P196">
            <v>-6875.3092965242913</v>
          </cell>
          <cell r="Q196">
            <v>-13963544.935851285</v>
          </cell>
          <cell r="R196">
            <v>103979.06850187897</v>
          </cell>
          <cell r="S196">
            <v>-6694863.5076942015</v>
          </cell>
          <cell r="T196">
            <v>-336263.78335347929</v>
          </cell>
          <cell r="U196">
            <v>-135725.46189684264</v>
          </cell>
          <cell r="V196">
            <v>-524599.24438762164</v>
          </cell>
          <cell r="W196">
            <v>-92652.824654852171</v>
          </cell>
          <cell r="X196">
            <v>10087.174999999999</v>
          </cell>
          <cell r="Y196">
            <v>-100.37525282447398</v>
          </cell>
          <cell r="Z196">
            <v>2260700.6998086115</v>
          </cell>
          <cell r="AA196">
            <v>1684481.2660772521</v>
          </cell>
          <cell r="AB196">
            <v>-657.36618177191451</v>
          </cell>
          <cell r="AC196">
            <v>77882.777238525014</v>
          </cell>
          <cell r="AD196">
            <v>-4353729.8435909664</v>
          </cell>
          <cell r="AE196">
            <v>-741105.70405495178</v>
          </cell>
          <cell r="AF196">
            <v>418087.91257004795</v>
          </cell>
          <cell r="AG196">
            <v>-46708.801104700353</v>
          </cell>
          <cell r="AH196">
            <v>0</v>
          </cell>
          <cell r="AI196">
            <v>-8465584.4920414705</v>
          </cell>
          <cell r="AJ196">
            <v>-9942.8196056581819</v>
          </cell>
          <cell r="AK196">
            <v>-3360944.5848349323</v>
          </cell>
          <cell r="AL196">
            <v>-73205.022651160412</v>
          </cell>
          <cell r="AM196">
            <v>-1101897.4487818289</v>
          </cell>
          <cell r="AN196">
            <v>-289368.98057824717</v>
          </cell>
          <cell r="AO196">
            <v>176209.80968503718</v>
          </cell>
          <cell r="AP196">
            <v>-514.93747767947684</v>
          </cell>
          <cell r="AQ196">
            <v>1039438.4034999999</v>
          </cell>
          <cell r="AR196">
            <v>55132.996555000005</v>
          </cell>
          <cell r="AS196">
            <v>-21.040997358489914</v>
          </cell>
          <cell r="AT196">
            <v>5295.5244999999995</v>
          </cell>
          <cell r="AU196">
            <v>-88270.526922326171</v>
          </cell>
          <cell r="AV196">
            <v>0</v>
          </cell>
          <cell r="AW196">
            <v>0</v>
          </cell>
          <cell r="AX196">
            <v>0</v>
          </cell>
          <cell r="AY196">
            <v>1210104.0034999999</v>
          </cell>
          <cell r="AZ196">
            <v>-2296102.0113983592</v>
          </cell>
          <cell r="BA196">
            <v>425659.74000000005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9163624.8546814993</v>
          </cell>
          <cell r="BI196">
            <v>-7195992.2751471279</v>
          </cell>
          <cell r="BJ196">
            <v>16597267.232645221</v>
          </cell>
          <cell r="BK196">
            <v>6583688.0203657141</v>
          </cell>
          <cell r="BL196">
            <v>-1088249.5666934501</v>
          </cell>
          <cell r="BM196">
            <v>-46708.801104700353</v>
          </cell>
          <cell r="BN196">
            <v>-14850004.610065591</v>
          </cell>
          <cell r="BO196">
            <v>6.7055225372314453E-8</v>
          </cell>
          <cell r="BP196">
            <v>425659.74000000005</v>
          </cell>
          <cell r="BQ196">
            <v>425659.7400000671</v>
          </cell>
          <cell r="BR196" t="str">
            <v>CF OK</v>
          </cell>
          <cell r="BY196" t="e">
            <v>#REF!</v>
          </cell>
          <cell r="BZ196" t="e">
            <v>#REF!</v>
          </cell>
          <cell r="CB196" t="e">
            <v>#REF!</v>
          </cell>
          <cell r="CD196" t="e">
            <v>#REF!</v>
          </cell>
        </row>
        <row r="197">
          <cell r="A197" t="str">
            <v>Current State Tax Expense/(Benefit)</v>
          </cell>
          <cell r="F197">
            <v>390201.60852858989</v>
          </cell>
          <cell r="G197">
            <v>0</v>
          </cell>
          <cell r="H197">
            <v>1781918.772556524</v>
          </cell>
          <cell r="I197">
            <v>0</v>
          </cell>
          <cell r="J197">
            <v>789047.2714603045</v>
          </cell>
          <cell r="K197">
            <v>0</v>
          </cell>
          <cell r="L197">
            <v>151839.96300000011</v>
          </cell>
          <cell r="M197">
            <v>493048.64339999994</v>
          </cell>
          <cell r="N197">
            <v>0</v>
          </cell>
          <cell r="O197">
            <v>1195.2530999999999</v>
          </cell>
          <cell r="P197">
            <v>0</v>
          </cell>
          <cell r="Q197">
            <v>389596.78475347994</v>
          </cell>
          <cell r="R197">
            <v>49943.218096364995</v>
          </cell>
          <cell r="S197">
            <v>7749103.2525042119</v>
          </cell>
          <cell r="T197">
            <v>113777.34274638331</v>
          </cell>
          <cell r="U197">
            <v>0</v>
          </cell>
          <cell r="V197">
            <v>492235.98129360646</v>
          </cell>
          <cell r="W197">
            <v>0</v>
          </cell>
          <cell r="X197">
            <v>0</v>
          </cell>
          <cell r="Y197">
            <v>0</v>
          </cell>
          <cell r="Z197">
            <v>1030892.1105239682</v>
          </cell>
          <cell r="AA197">
            <v>2022654.5138891547</v>
          </cell>
          <cell r="AB197">
            <v>423659.41807328007</v>
          </cell>
          <cell r="AC197">
            <v>12112.564513500001</v>
          </cell>
          <cell r="AD197">
            <v>0</v>
          </cell>
          <cell r="AE197">
            <v>0</v>
          </cell>
          <cell r="AF197">
            <v>75922.936842719995</v>
          </cell>
          <cell r="AG197">
            <v>140927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32244.520771498621</v>
          </cell>
          <cell r="AO197">
            <v>49792.410900010509</v>
          </cell>
          <cell r="AP197">
            <v>0</v>
          </cell>
          <cell r="AQ197">
            <v>0</v>
          </cell>
          <cell r="AR197">
            <v>15579.182700000001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1715695.04091</v>
          </cell>
          <cell r="BI197">
            <v>0</v>
          </cell>
          <cell r="BJ197">
            <v>0</v>
          </cell>
          <cell r="BK197">
            <v>1781918.772556524</v>
          </cell>
          <cell r="BL197">
            <v>0</v>
          </cell>
          <cell r="BM197">
            <v>140927</v>
          </cell>
          <cell r="BN197">
            <v>15998542.01800707</v>
          </cell>
          <cell r="BO197">
            <v>17921387.790563595</v>
          </cell>
          <cell r="BP197">
            <v>0</v>
          </cell>
          <cell r="BQ197">
            <v>17921387.790563595</v>
          </cell>
          <cell r="BR197" t="str">
            <v>CF OK</v>
          </cell>
          <cell r="BY197">
            <v>0</v>
          </cell>
          <cell r="BZ197">
            <v>0</v>
          </cell>
          <cell r="CB197">
            <v>0</v>
          </cell>
          <cell r="CD197">
            <v>17921387.790563595</v>
          </cell>
        </row>
        <row r="199">
          <cell r="A199" t="str">
            <v>Total Current Provision - $</v>
          </cell>
          <cell r="F199">
            <v>23508.063247135899</v>
          </cell>
          <cell r="G199">
            <v>16597267.232645221</v>
          </cell>
          <cell r="H199">
            <v>8435273.6186467409</v>
          </cell>
          <cell r="I199">
            <v>-69666.825724501963</v>
          </cell>
          <cell r="J199">
            <v>1828176.0288421728</v>
          </cell>
          <cell r="K199">
            <v>240096.63299999994</v>
          </cell>
          <cell r="L199">
            <v>689184.72095000045</v>
          </cell>
          <cell r="M199">
            <v>2237893.0092099998</v>
          </cell>
          <cell r="N199">
            <v>-2251.5587950908739</v>
          </cell>
          <cell r="O199">
            <v>5425.1210149999997</v>
          </cell>
          <cell r="P199">
            <v>-6875.3092965242913</v>
          </cell>
          <cell r="Q199">
            <v>-13573948.151097806</v>
          </cell>
          <cell r="R199">
            <v>153922.28659824395</v>
          </cell>
          <cell r="S199">
            <v>1054239.7448100103</v>
          </cell>
          <cell r="T199">
            <v>-222486.44060709598</v>
          </cell>
          <cell r="U199">
            <v>-135725.46189684264</v>
          </cell>
          <cell r="V199">
            <v>-32363.263094015187</v>
          </cell>
          <cell r="W199">
            <v>-92652.824654852171</v>
          </cell>
          <cell r="X199">
            <v>10087.174999999999</v>
          </cell>
          <cell r="Y199">
            <v>-100.37525282447398</v>
          </cell>
          <cell r="Z199">
            <v>3291592.8103325795</v>
          </cell>
          <cell r="AA199">
            <v>3707135.7799664065</v>
          </cell>
          <cell r="AB199">
            <v>423002.05189150816</v>
          </cell>
          <cell r="AC199">
            <v>89995.341752025008</v>
          </cell>
          <cell r="AD199">
            <v>-4353729.8435909664</v>
          </cell>
          <cell r="AE199">
            <v>-741105.70405495178</v>
          </cell>
          <cell r="AF199">
            <v>494010.84941276792</v>
          </cell>
          <cell r="AG199">
            <v>94218.198895299647</v>
          </cell>
          <cell r="AH199">
            <v>0</v>
          </cell>
          <cell r="AI199">
            <v>-8465584.4920414705</v>
          </cell>
          <cell r="AJ199">
            <v>-9942.8196056581819</v>
          </cell>
          <cell r="AK199">
            <v>-3360944.5848349323</v>
          </cell>
          <cell r="AL199">
            <v>-73205.022651160412</v>
          </cell>
          <cell r="AM199">
            <v>-1101897.4487818289</v>
          </cell>
          <cell r="AN199">
            <v>-257124.45980674855</v>
          </cell>
          <cell r="AO199">
            <v>226002.22058504767</v>
          </cell>
          <cell r="AP199">
            <v>-514.93747767947684</v>
          </cell>
          <cell r="AQ199">
            <v>1039438.4034999999</v>
          </cell>
          <cell r="AR199">
            <v>70712.17925500001</v>
          </cell>
          <cell r="AS199">
            <v>-21.040997358489914</v>
          </cell>
          <cell r="AT199">
            <v>5295.5244999999995</v>
          </cell>
          <cell r="AU199">
            <v>-88270.526922326171</v>
          </cell>
          <cell r="AV199">
            <v>0</v>
          </cell>
          <cell r="AW199">
            <v>0</v>
          </cell>
          <cell r="AX199">
            <v>0</v>
          </cell>
          <cell r="AY199">
            <v>1210104.0034999999</v>
          </cell>
          <cell r="AZ199">
            <v>-2296102.0113983592</v>
          </cell>
          <cell r="BA199">
            <v>425659.74000000005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10879319.895591499</v>
          </cell>
          <cell r="BI199">
            <v>-7195992.2751471279</v>
          </cell>
          <cell r="BJ199">
            <v>16597267.232645221</v>
          </cell>
          <cell r="BK199">
            <v>8365606.7929222379</v>
          </cell>
          <cell r="BL199">
            <v>-1088249.5666934501</v>
          </cell>
          <cell r="BM199">
            <v>94218.198895299647</v>
          </cell>
          <cell r="BN199">
            <v>1148537.4079414792</v>
          </cell>
          <cell r="BO199">
            <v>17921387.790563662</v>
          </cell>
          <cell r="BP199">
            <v>425659.74000000005</v>
          </cell>
          <cell r="BQ199">
            <v>18347047.53056366</v>
          </cell>
          <cell r="BR199" t="str">
            <v>CF OK</v>
          </cell>
          <cell r="BY199" t="e">
            <v>#REF!</v>
          </cell>
          <cell r="BZ199" t="e">
            <v>#REF!</v>
          </cell>
          <cell r="CB199" t="e">
            <v>#REF!</v>
          </cell>
          <cell r="CD199" t="e">
            <v>#REF!</v>
          </cell>
        </row>
        <row r="200">
          <cell r="A200" t="str">
            <v>Total Current Provision - %</v>
          </cell>
          <cell r="F200">
            <v>-0.37364798930483401</v>
          </cell>
          <cell r="G200">
            <v>0.14144763387034245</v>
          </cell>
          <cell r="H200">
            <v>0.39834191900265964</v>
          </cell>
          <cell r="I200" t="e">
            <v>#DIV/0!</v>
          </cell>
          <cell r="J200">
            <v>0.20747328536954299</v>
          </cell>
          <cell r="K200">
            <v>-7.5363714750874583E-2</v>
          </cell>
          <cell r="L200">
            <v>1.2753393657618179</v>
          </cell>
          <cell r="M200">
            <v>0.61959001778751344</v>
          </cell>
          <cell r="N200">
            <v>-2.7950157971568877E-2</v>
          </cell>
          <cell r="O200">
            <v>0.40849999999999997</v>
          </cell>
          <cell r="P200">
            <v>0.1499853576487955</v>
          </cell>
          <cell r="Q200">
            <v>-0.82034891333026472</v>
          </cell>
          <cell r="R200">
            <v>0.2130480269698905</v>
          </cell>
          <cell r="S200">
            <v>8.7061507406094359E-3</v>
          </cell>
          <cell r="T200">
            <v>-7.1877802965254103E-2</v>
          </cell>
          <cell r="U200">
            <v>-2.820948939153211E-2</v>
          </cell>
          <cell r="V200">
            <v>-2.281868600075954E-3</v>
          </cell>
          <cell r="W200">
            <v>0.42320818775698171</v>
          </cell>
          <cell r="X200">
            <v>0.40673272716275877</v>
          </cell>
          <cell r="Y200">
            <v>0.1284162182391817</v>
          </cell>
          <cell r="Z200">
            <v>0.13515916672334807</v>
          </cell>
          <cell r="AA200">
            <v>0.11701994934279897</v>
          </cell>
          <cell r="AB200">
            <v>9.1061473822009825E-2</v>
          </cell>
          <cell r="AC200">
            <v>0.39969084423439211</v>
          </cell>
          <cell r="AD200">
            <v>-0.15114098529014922</v>
          </cell>
          <cell r="AE200">
            <v>-0.49542010603402858</v>
          </cell>
          <cell r="AF200">
            <v>0.18530361593713532</v>
          </cell>
          <cell r="AG200">
            <v>-1.438186252424364</v>
          </cell>
          <cell r="AH200" t="e">
            <v>#DIV/0!</v>
          </cell>
          <cell r="AI200">
            <v>0.11845054391813231</v>
          </cell>
          <cell r="AJ200">
            <v>0.12841621823918167</v>
          </cell>
          <cell r="AK200">
            <v>-0.24331743014999438</v>
          </cell>
          <cell r="AL200">
            <v>-7.1009105130022301E-2</v>
          </cell>
          <cell r="AM200">
            <v>-0.35902152654000657</v>
          </cell>
          <cell r="AN200">
            <v>-0.37644749186143123</v>
          </cell>
          <cell r="AO200">
            <v>22599958.160299618</v>
          </cell>
          <cell r="AP200">
            <v>0.12841621823918165</v>
          </cell>
          <cell r="AQ200">
            <v>0.35</v>
          </cell>
          <cell r="AR200">
            <v>4.580729372481248E-2</v>
          </cell>
          <cell r="AS200">
            <v>0.12841621823918167</v>
          </cell>
          <cell r="AT200">
            <v>0.35</v>
          </cell>
          <cell r="AU200">
            <v>0.33386189222549656</v>
          </cell>
          <cell r="AV200">
            <v>0</v>
          </cell>
          <cell r="AW200">
            <v>0</v>
          </cell>
          <cell r="AX200" t="e">
            <v>#DIV/0!</v>
          </cell>
          <cell r="AY200">
            <v>0.35</v>
          </cell>
          <cell r="AZ200">
            <v>0.20246041892112487</v>
          </cell>
          <cell r="BA200">
            <v>0.46311963477871088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0.38997499999999996</v>
          </cell>
          <cell r="BI200">
            <v>0.10027468584015374</v>
          </cell>
          <cell r="BJ200">
            <v>0.14144763387034245</v>
          </cell>
          <cell r="BK200">
            <v>0.39505201777306864</v>
          </cell>
          <cell r="BL200">
            <v>0.13946560827813193</v>
          </cell>
          <cell r="BM200">
            <v>-1.438186252424364</v>
          </cell>
          <cell r="BN200">
            <v>3.6487190571439596E-3</v>
          </cell>
          <cell r="BO200">
            <v>4.7961557446948404E-2</v>
          </cell>
          <cell r="BP200">
            <v>0.46311963477871088</v>
          </cell>
          <cell r="BQ200">
            <v>4.898023695307472E-2</v>
          </cell>
          <cell r="BY200" t="e">
            <v>#REF!</v>
          </cell>
          <cell r="BZ200" t="e">
            <v>#REF!</v>
          </cell>
          <cell r="CB200" t="e">
            <v>#REF!</v>
          </cell>
          <cell r="CD200" t="e">
            <v>#REF!</v>
          </cell>
        </row>
        <row r="201">
          <cell r="A201" t="str">
            <v>Total SIT Current</v>
          </cell>
          <cell r="F201">
            <v>-6.202044163207824</v>
          </cell>
          <cell r="G201">
            <v>0</v>
          </cell>
          <cell r="H201">
            <v>8.4148182436896909E-2</v>
          </cell>
          <cell r="I201" t="e">
            <v>#DIV/0!</v>
          </cell>
          <cell r="J201">
            <v>8.9546207333996194E-2</v>
          </cell>
          <cell r="K201">
            <v>0</v>
          </cell>
          <cell r="L201">
            <v>0.28098052122047396</v>
          </cell>
          <cell r="M201">
            <v>0.13650698066309966</v>
          </cell>
          <cell r="N201">
            <v>0</v>
          </cell>
          <cell r="O201">
            <v>0.09</v>
          </cell>
          <cell r="P201">
            <v>0</v>
          </cell>
          <cell r="Q201">
            <v>2.3545492840536152E-2</v>
          </cell>
          <cell r="R201">
            <v>6.912776772690489E-2</v>
          </cell>
          <cell r="S201">
            <v>6.3993850879722536E-2</v>
          </cell>
          <cell r="T201">
            <v>3.6757590267161168E-2</v>
          </cell>
          <cell r="U201">
            <v>0</v>
          </cell>
          <cell r="V201">
            <v>3.470656918242486E-2</v>
          </cell>
          <cell r="W201">
            <v>0</v>
          </cell>
          <cell r="X201">
            <v>0</v>
          </cell>
          <cell r="Y201">
            <v>0</v>
          </cell>
          <cell r="Z201">
            <v>4.2330423800511018E-2</v>
          </cell>
          <cell r="AA201">
            <v>6.3847385907035051E-2</v>
          </cell>
          <cell r="AB201">
            <v>9.1202987871611296E-2</v>
          </cell>
          <cell r="AC201">
            <v>5.3794796952759162E-2</v>
          </cell>
          <cell r="AD201">
            <v>0</v>
          </cell>
          <cell r="AE201">
            <v>0</v>
          </cell>
          <cell r="AF201">
            <v>2.8478716097523733E-2</v>
          </cell>
          <cell r="AG201">
            <v>-2.1511690562100059</v>
          </cell>
          <cell r="AH201" t="e">
            <v>#DIV/0!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4.7208145735444698E-2</v>
          </cell>
          <cell r="AO201">
            <v>4979182.9484136254</v>
          </cell>
          <cell r="AP201">
            <v>0</v>
          </cell>
          <cell r="AQ201">
            <v>0</v>
          </cell>
          <cell r="AR201">
            <v>1.0092182215992958E-2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 t="e">
            <v>#DIV/0!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6.1499999999999999E-2</v>
          </cell>
          <cell r="BI201">
            <v>0</v>
          </cell>
          <cell r="BJ201">
            <v>0</v>
          </cell>
          <cell r="BK201">
            <v>8.4148182436896909E-2</v>
          </cell>
          <cell r="BL201">
            <v>0</v>
          </cell>
          <cell r="BM201">
            <v>-2.1511690562100059</v>
          </cell>
          <cell r="BN201">
            <v>5.0824800954672157E-2</v>
          </cell>
          <cell r="BO201">
            <v>4.7961557446948223E-2</v>
          </cell>
          <cell r="BP201">
            <v>0</v>
          </cell>
          <cell r="BQ201">
            <v>4.784387346506086E-2</v>
          </cell>
        </row>
        <row r="202">
          <cell r="F202">
            <v>5.8283961739029904</v>
          </cell>
          <cell r="G202">
            <v>0.14144763387034245</v>
          </cell>
          <cell r="H202">
            <v>0.31419373656576266</v>
          </cell>
          <cell r="I202" t="e">
            <v>#DIV/0!</v>
          </cell>
          <cell r="J202">
            <v>0.11792707803554679</v>
          </cell>
          <cell r="K202">
            <v>-7.5363714750874583E-2</v>
          </cell>
          <cell r="L202">
            <v>0.99435884454134393</v>
          </cell>
          <cell r="M202">
            <v>0.48308303712441375</v>
          </cell>
          <cell r="N202">
            <v>-2.7950157971568877E-2</v>
          </cell>
          <cell r="O202">
            <v>0.31850000000000001</v>
          </cell>
          <cell r="P202">
            <v>0.1499853576487955</v>
          </cell>
          <cell r="Q202">
            <v>-0.8438944061708008</v>
          </cell>
          <cell r="R202">
            <v>0.14392025924298563</v>
          </cell>
          <cell r="S202">
            <v>-5.5287700139113091E-2</v>
          </cell>
          <cell r="T202">
            <v>-0.10863539323241528</v>
          </cell>
          <cell r="U202">
            <v>-2.820948939153211E-2</v>
          </cell>
          <cell r="V202">
            <v>-3.6988437782500813E-2</v>
          </cell>
          <cell r="W202">
            <v>0.42320818775698171</v>
          </cell>
          <cell r="X202">
            <v>0.40673272716275877</v>
          </cell>
          <cell r="Y202">
            <v>0.1284162182391817</v>
          </cell>
          <cell r="Z202">
            <v>9.2828742922837049E-2</v>
          </cell>
          <cell r="AA202">
            <v>5.3172563435763924E-2</v>
          </cell>
          <cell r="AB202">
            <v>-1.4151404960146828E-4</v>
          </cell>
          <cell r="AC202">
            <v>0.34589604728163298</v>
          </cell>
          <cell r="AD202">
            <v>-0.15114098529014922</v>
          </cell>
          <cell r="AE202">
            <v>-0.49542010603402858</v>
          </cell>
          <cell r="AF202">
            <v>0.15682489983961159</v>
          </cell>
          <cell r="AG202">
            <v>0.71298280378564172</v>
          </cell>
          <cell r="AH202" t="e">
            <v>#DIV/0!</v>
          </cell>
          <cell r="AI202">
            <v>0.11845054391813231</v>
          </cell>
          <cell r="AJ202">
            <v>0.12841621823918167</v>
          </cell>
          <cell r="AK202">
            <v>-0.24331743014999438</v>
          </cell>
          <cell r="AL202">
            <v>-7.1009105130022301E-2</v>
          </cell>
          <cell r="AM202">
            <v>-0.35902152654000657</v>
          </cell>
          <cell r="AN202">
            <v>-0.42365563759687591</v>
          </cell>
          <cell r="AO202">
            <v>17620775.211885996</v>
          </cell>
          <cell r="AP202">
            <v>0.12841621823918165</v>
          </cell>
          <cell r="AQ202">
            <v>0.35</v>
          </cell>
          <cell r="AR202">
            <v>3.5715111508819522E-2</v>
          </cell>
          <cell r="AS202">
            <v>0.12841621823918167</v>
          </cell>
          <cell r="AT202">
            <v>0.35</v>
          </cell>
          <cell r="AU202">
            <v>0.33386189222549656</v>
          </cell>
          <cell r="AV202">
            <v>0</v>
          </cell>
          <cell r="AW202">
            <v>0</v>
          </cell>
          <cell r="AX202" t="e">
            <v>#DIV/0!</v>
          </cell>
          <cell r="AY202">
            <v>0.35</v>
          </cell>
          <cell r="AZ202">
            <v>0.20246041892112487</v>
          </cell>
          <cell r="BA202">
            <v>0.46311963477871088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0.32847499999999996</v>
          </cell>
          <cell r="BI202">
            <v>0.10027468584015374</v>
          </cell>
          <cell r="BJ202">
            <v>0.14144763387034245</v>
          </cell>
          <cell r="BK202">
            <v>0.31090383533617172</v>
          </cell>
          <cell r="BL202">
            <v>0.13946560827813193</v>
          </cell>
          <cell r="BM202">
            <v>0.71298280378564172</v>
          </cell>
          <cell r="BN202">
            <v>-4.7176081897528192E-2</v>
          </cell>
          <cell r="BO202">
            <v>1.7945446420760591E-16</v>
          </cell>
          <cell r="BP202">
            <v>0.46311963477871088</v>
          </cell>
          <cell r="BQ202">
            <v>1.1363634880138635E-3</v>
          </cell>
        </row>
        <row r="203">
          <cell r="BR203" t="str">
            <v>X</v>
          </cell>
        </row>
        <row r="204">
          <cell r="F204" t="str">
            <v>Rate Rec $</v>
          </cell>
          <cell r="G204" t="str">
            <v>Rate Rec $</v>
          </cell>
          <cell r="H204" t="str">
            <v>Rate Rec $</v>
          </cell>
          <cell r="I204" t="str">
            <v>Rate Rec $</v>
          </cell>
          <cell r="J204" t="str">
            <v>Rate Rec $</v>
          </cell>
          <cell r="K204" t="str">
            <v>Rate Rec $</v>
          </cell>
          <cell r="L204" t="str">
            <v>Rate Rec $</v>
          </cell>
          <cell r="M204" t="str">
            <v>Rate Rec $</v>
          </cell>
          <cell r="N204" t="str">
            <v>Rate Rec $</v>
          </cell>
          <cell r="O204" t="str">
            <v>Rate Rec $</v>
          </cell>
          <cell r="P204" t="str">
            <v>Rate Rec $</v>
          </cell>
          <cell r="Q204" t="str">
            <v>Rate Rec $</v>
          </cell>
          <cell r="R204" t="str">
            <v>Rate Rec $</v>
          </cell>
          <cell r="S204" t="str">
            <v>Rate Rec $</v>
          </cell>
          <cell r="T204" t="str">
            <v>Rate Rec $</v>
          </cell>
          <cell r="U204" t="str">
            <v>Rate Rec $</v>
          </cell>
          <cell r="V204" t="str">
            <v>Rate Rec $</v>
          </cell>
          <cell r="W204" t="str">
            <v>Rate Rec $</v>
          </cell>
          <cell r="X204" t="str">
            <v>Rate Rec $</v>
          </cell>
          <cell r="Y204" t="str">
            <v>Rate Rec $</v>
          </cell>
          <cell r="Z204" t="str">
            <v>Rate Rec $</v>
          </cell>
          <cell r="AA204" t="str">
            <v>Rate Rec $</v>
          </cell>
          <cell r="AB204" t="str">
            <v>Rate Rec $</v>
          </cell>
          <cell r="AC204" t="str">
            <v>Rate Rec $</v>
          </cell>
          <cell r="AD204" t="str">
            <v>Rate Rec $</v>
          </cell>
          <cell r="AE204" t="str">
            <v>Rate Rec $</v>
          </cell>
          <cell r="AF204" t="str">
            <v>Rate Rec $</v>
          </cell>
          <cell r="AG204" t="str">
            <v>Rate Rec $</v>
          </cell>
          <cell r="AH204" t="str">
            <v>Rate Rec $</v>
          </cell>
          <cell r="AI204" t="str">
            <v>Rate Rec $</v>
          </cell>
          <cell r="AJ204" t="str">
            <v>Rate Rec $</v>
          </cell>
          <cell r="AK204" t="str">
            <v>Rate Rec $</v>
          </cell>
          <cell r="AL204" t="str">
            <v>Rate Rec $</v>
          </cell>
          <cell r="AM204" t="str">
            <v>Rate Rec $</v>
          </cell>
          <cell r="AN204" t="str">
            <v>Rate Rec $</v>
          </cell>
          <cell r="AO204" t="str">
            <v>Rate Rec $</v>
          </cell>
          <cell r="AP204" t="str">
            <v>Rate Rec $</v>
          </cell>
          <cell r="AQ204" t="str">
            <v>Rate Rec $</v>
          </cell>
          <cell r="AR204" t="str">
            <v>Rate Rec $</v>
          </cell>
          <cell r="AS204" t="str">
            <v>Rate Rec $</v>
          </cell>
          <cell r="AT204" t="str">
            <v>Rate Rec $</v>
          </cell>
          <cell r="AU204" t="str">
            <v>Rate Rec $</v>
          </cell>
          <cell r="AV204" t="str">
            <v>Rate Rec $</v>
          </cell>
          <cell r="AW204" t="str">
            <v>Rate Rec $</v>
          </cell>
          <cell r="AX204" t="str">
            <v>Rate Rec $</v>
          </cell>
          <cell r="AY204" t="str">
            <v>Rate Rec $</v>
          </cell>
          <cell r="AZ204" t="str">
            <v>Rate Rec $</v>
          </cell>
          <cell r="BA204" t="str">
            <v>Rate Rec $</v>
          </cell>
          <cell r="BB204" t="str">
            <v>Rate Rec $</v>
          </cell>
          <cell r="BD204" t="str">
            <v>Rate Rec $</v>
          </cell>
          <cell r="BE204" t="str">
            <v>Rate Rec $</v>
          </cell>
          <cell r="BF204" t="str">
            <v>Rate Rec $</v>
          </cell>
          <cell r="BN204" t="str">
            <v>Rate Rec $</v>
          </cell>
          <cell r="BO204" t="str">
            <v>Rate Rec $</v>
          </cell>
          <cell r="BP204" t="str">
            <v>Rate Rec $</v>
          </cell>
          <cell r="BQ204" t="str">
            <v>Rate Rec $</v>
          </cell>
          <cell r="BT204" t="str">
            <v>Proof of SIT Total Expense</v>
          </cell>
          <cell r="BY204" t="str">
            <v>Rate Rec $</v>
          </cell>
          <cell r="BZ204" t="str">
            <v>Rate Rec $</v>
          </cell>
          <cell r="CB204" t="str">
            <v>Rate Rec $</v>
          </cell>
          <cell r="CD204" t="str">
            <v>Rate Rec $</v>
          </cell>
        </row>
        <row r="205">
          <cell r="F205">
            <v>-22020.250000020857</v>
          </cell>
          <cell r="G205">
            <v>41068509.754999995</v>
          </cell>
          <cell r="H205">
            <v>7411586.9449999994</v>
          </cell>
          <cell r="I205">
            <v>0</v>
          </cell>
          <cell r="J205">
            <v>3084067.4689999963</v>
          </cell>
          <cell r="K205">
            <v>-1115043.517</v>
          </cell>
          <cell r="L205">
            <v>189137.62000000034</v>
          </cell>
          <cell r="M205">
            <v>1264162.6409999998</v>
          </cell>
          <cell r="N205">
            <v>28194.673499999964</v>
          </cell>
          <cell r="O205">
            <v>4648.2064999999993</v>
          </cell>
          <cell r="P205">
            <v>-16043.9545</v>
          </cell>
          <cell r="Q205">
            <v>5791294.1379999993</v>
          </cell>
          <cell r="R205">
            <v>252866.92899999997</v>
          </cell>
          <cell r="S205">
            <v>42381980.472999997</v>
          </cell>
          <cell r="T205">
            <v>1083369.9834999999</v>
          </cell>
          <cell r="U205">
            <v>1683969.2135000001</v>
          </cell>
          <cell r="V205">
            <v>4963976.4895000001</v>
          </cell>
          <cell r="W205">
            <v>-76625.380999999994</v>
          </cell>
          <cell r="X205">
            <v>8680.1749999999993</v>
          </cell>
          <cell r="Y205">
            <v>-273.57399999999996</v>
          </cell>
          <cell r="Z205">
            <v>8523709.5755000003</v>
          </cell>
          <cell r="AA205">
            <v>11087831.863499999</v>
          </cell>
          <cell r="AB205">
            <v>1625832.6594999998</v>
          </cell>
          <cell r="AC205">
            <v>78806.832999999999</v>
          </cell>
          <cell r="AD205">
            <v>10082013.441500001</v>
          </cell>
          <cell r="AE205">
            <v>523569.78099999996</v>
          </cell>
          <cell r="AF205">
            <v>933083.77399999998</v>
          </cell>
          <cell r="AG205">
            <v>-22929.137000000035</v>
          </cell>
          <cell r="AH205">
            <v>0</v>
          </cell>
          <cell r="AI205">
            <v>-25014275.782999996</v>
          </cell>
          <cell r="AJ205">
            <v>-27099.278499999997</v>
          </cell>
          <cell r="AK205">
            <v>4834551.3264999995</v>
          </cell>
          <cell r="AL205">
            <v>360823.55749999994</v>
          </cell>
          <cell r="AM205">
            <v>1074208.8665</v>
          </cell>
          <cell r="AN205">
            <v>239060.06249999997</v>
          </cell>
          <cell r="AO205">
            <v>3.5000408692667244E-3</v>
          </cell>
          <cell r="AP205">
            <v>-1403.4684999999999</v>
          </cell>
          <cell r="AQ205">
            <v>1039438.4034999999</v>
          </cell>
          <cell r="AR205">
            <v>540290.87349999999</v>
          </cell>
          <cell r="AS205">
            <v>-57.347499999999997</v>
          </cell>
          <cell r="AT205">
            <v>5295.5244999999995</v>
          </cell>
          <cell r="AU205">
            <v>-92537.31899999929</v>
          </cell>
          <cell r="AV205">
            <v>0</v>
          </cell>
          <cell r="AW205">
            <v>0</v>
          </cell>
          <cell r="AX205">
            <v>0</v>
          </cell>
          <cell r="AY205">
            <v>1210104.0034999999</v>
          </cell>
          <cell r="AZ205">
            <v>-3969347.2347427495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9764118.118999999</v>
          </cell>
          <cell r="BI205">
            <v>-25116980.174999997</v>
          </cell>
          <cell r="BJ205">
            <v>41068509.754999995</v>
          </cell>
          <cell r="BK205">
            <v>7411586.9449999994</v>
          </cell>
          <cell r="BL205">
            <v>-2731048.5577427493</v>
          </cell>
          <cell r="BM205">
            <v>-22929.137000000035</v>
          </cell>
          <cell r="BN205">
            <v>110172388.30500002</v>
          </cell>
          <cell r="BO205">
            <v>130781527.13525727</v>
          </cell>
          <cell r="BP205">
            <v>0</v>
          </cell>
          <cell r="BQ205">
            <v>130781527.13525727</v>
          </cell>
          <cell r="BR205" t="str">
            <v>x</v>
          </cell>
          <cell r="BT205" t="str">
            <v>PTI of profit companies</v>
          </cell>
          <cell r="BU205">
            <v>309838311</v>
          </cell>
          <cell r="BY205">
            <v>0</v>
          </cell>
          <cell r="BZ205">
            <v>0</v>
          </cell>
          <cell r="CB205">
            <v>0</v>
          </cell>
          <cell r="CD205">
            <v>130781527.13525727</v>
          </cell>
        </row>
      </sheetData>
      <sheetData sheetId="14"/>
      <sheetData sheetId="15"/>
      <sheetData sheetId="16">
        <row r="7">
          <cell r="F7">
            <v>3</v>
          </cell>
          <cell r="G7">
            <v>18</v>
          </cell>
          <cell r="H7">
            <v>21</v>
          </cell>
          <cell r="I7">
            <v>21.1</v>
          </cell>
          <cell r="J7">
            <v>38</v>
          </cell>
          <cell r="K7">
            <v>51</v>
          </cell>
          <cell r="L7">
            <v>54</v>
          </cell>
          <cell r="M7">
            <v>55</v>
          </cell>
          <cell r="N7">
            <v>56</v>
          </cell>
          <cell r="O7">
            <v>57</v>
          </cell>
          <cell r="P7">
            <v>4</v>
          </cell>
          <cell r="Q7">
            <v>12</v>
          </cell>
          <cell r="R7">
            <v>13</v>
          </cell>
          <cell r="S7">
            <v>24</v>
          </cell>
          <cell r="T7">
            <v>26</v>
          </cell>
          <cell r="U7">
            <v>27</v>
          </cell>
          <cell r="V7">
            <v>28</v>
          </cell>
          <cell r="W7">
            <v>42</v>
          </cell>
          <cell r="X7">
            <v>85</v>
          </cell>
          <cell r="Y7">
            <v>87</v>
          </cell>
          <cell r="Z7">
            <v>9</v>
          </cell>
          <cell r="AA7">
            <v>10</v>
          </cell>
          <cell r="AB7">
            <v>11</v>
          </cell>
          <cell r="AC7">
            <v>16</v>
          </cell>
          <cell r="AD7">
            <v>17</v>
          </cell>
          <cell r="AE7">
            <v>22</v>
          </cell>
          <cell r="AF7">
            <v>44</v>
          </cell>
          <cell r="AG7">
            <v>50</v>
          </cell>
          <cell r="AI7">
            <v>2</v>
          </cell>
          <cell r="AJ7">
            <v>47</v>
          </cell>
          <cell r="AK7">
            <v>5</v>
          </cell>
          <cell r="AL7">
            <v>19</v>
          </cell>
          <cell r="AM7">
            <v>23</v>
          </cell>
          <cell r="AN7">
            <v>30</v>
          </cell>
          <cell r="AO7">
            <v>45</v>
          </cell>
          <cell r="AP7">
            <v>46</v>
          </cell>
          <cell r="AQ7">
            <v>80</v>
          </cell>
          <cell r="AR7">
            <v>90</v>
          </cell>
          <cell r="AS7">
            <v>91</v>
          </cell>
          <cell r="AT7">
            <v>60</v>
          </cell>
          <cell r="AU7">
            <v>65</v>
          </cell>
          <cell r="AV7">
            <v>997</v>
          </cell>
          <cell r="AW7">
            <v>99023</v>
          </cell>
          <cell r="AX7">
            <v>99021</v>
          </cell>
          <cell r="AY7">
            <v>99020</v>
          </cell>
          <cell r="AZ7">
            <v>990</v>
          </cell>
          <cell r="BA7" t="str">
            <v>AWE001</v>
          </cell>
          <cell r="BB7" t="str">
            <v>AWE002</v>
          </cell>
          <cell r="BC7" t="str">
            <v>NE015</v>
          </cell>
          <cell r="BD7" t="str">
            <v>AWE003</v>
          </cell>
          <cell r="BE7" t="str">
            <v>NE004</v>
          </cell>
          <cell r="BF7" t="str">
            <v>NE002</v>
          </cell>
          <cell r="BG7" t="str">
            <v>NE016</v>
          </cell>
          <cell r="BH7" t="str">
            <v>NE003</v>
          </cell>
          <cell r="BI7" t="str">
            <v>NL002</v>
          </cell>
          <cell r="BJ7" t="str">
            <v>AWE004</v>
          </cell>
          <cell r="BK7" t="str">
            <v>AWE005</v>
          </cell>
          <cell r="BL7" t="str">
            <v>SW007</v>
          </cell>
          <cell r="BM7" t="str">
            <v>AWE006</v>
          </cell>
          <cell r="BN7" t="str">
            <v>AWE007</v>
          </cell>
          <cell r="BO7">
            <v>993</v>
          </cell>
          <cell r="BP7">
            <v>98723</v>
          </cell>
          <cell r="BQ7">
            <v>992</v>
          </cell>
          <cell r="BR7">
            <v>991</v>
          </cell>
          <cell r="BT7" t="str">
            <v>AWECAN001</v>
          </cell>
          <cell r="BU7" t="str">
            <v>AWECAN002</v>
          </cell>
          <cell r="BV7" t="str">
            <v>AWECAN003</v>
          </cell>
          <cell r="BW7" t="str">
            <v>AWECAN004</v>
          </cell>
          <cell r="BX7" t="str">
            <v>AWECAN005</v>
          </cell>
          <cell r="BY7" t="str">
            <v>AWECAN006</v>
          </cell>
          <cell r="BZ7" t="str">
            <v>AWECAN007</v>
          </cell>
          <cell r="CA7" t="str">
            <v>AWECAN008</v>
          </cell>
          <cell r="CB7" t="str">
            <v>AWECAN009</v>
          </cell>
          <cell r="CC7">
            <v>995</v>
          </cell>
        </row>
        <row r="8">
          <cell r="F8" t="str">
            <v>AWWS</v>
          </cell>
          <cell r="G8" t="str">
            <v>NJ</v>
          </cell>
          <cell r="H8" t="str">
            <v>AWR - LEASING</v>
          </cell>
          <cell r="I8" t="str">
            <v>AWR-SLP</v>
          </cell>
          <cell r="J8" t="str">
            <v>LI</v>
          </cell>
          <cell r="K8" t="str">
            <v>E-TOWN LLC</v>
          </cell>
          <cell r="L8" t="str">
            <v>EDISON</v>
          </cell>
          <cell r="M8" t="str">
            <v>LIBERTY</v>
          </cell>
          <cell r="N8" t="str">
            <v>E-Town Services LLC</v>
          </cell>
          <cell r="O8" t="str">
            <v>E-TOWN PROPERTIES</v>
          </cell>
          <cell r="P8" t="str">
            <v>BFV</v>
          </cell>
          <cell r="Q8" t="str">
            <v>KY</v>
          </cell>
          <cell r="R8" t="str">
            <v>MD</v>
          </cell>
          <cell r="S8" t="str">
            <v>PA</v>
          </cell>
          <cell r="T8" t="str">
            <v>TN</v>
          </cell>
          <cell r="U8" t="str">
            <v>VA</v>
          </cell>
          <cell r="V8" t="str">
            <v>WV</v>
          </cell>
          <cell r="W8" t="str">
            <v>UWVA</v>
          </cell>
          <cell r="X8" t="str">
            <v>ACUS (Ashbrook)</v>
          </cell>
          <cell r="Y8" t="str">
            <v>HYDRO</v>
          </cell>
          <cell r="Z8" t="str">
            <v>IL</v>
          </cell>
          <cell r="AA8" t="str">
            <v>IN</v>
          </cell>
          <cell r="AB8" t="str">
            <v>IA</v>
          </cell>
          <cell r="AC8" t="str">
            <v>MI</v>
          </cell>
          <cell r="AD8" t="str">
            <v>MO</v>
          </cell>
          <cell r="AE8" t="str">
            <v>OH</v>
          </cell>
          <cell r="AF8" t="str">
            <v>LAKE WATER</v>
          </cell>
          <cell r="AG8" t="str">
            <v>TX (FKA Dittman SW Utilities and Walker)</v>
          </cell>
          <cell r="AH8" t="str">
            <v>AWWC CA/MO/IL offset</v>
          </cell>
          <cell r="AI8" t="str">
            <v>AWW</v>
          </cell>
          <cell r="AJ8" t="str">
            <v>AWS, LLC</v>
          </cell>
          <cell r="AK8" t="str">
            <v>CA</v>
          </cell>
          <cell r="AL8" t="str">
            <v>NM</v>
          </cell>
          <cell r="AM8" t="str">
            <v>AZ</v>
          </cell>
          <cell r="AN8" t="str">
            <v>HI</v>
          </cell>
          <cell r="AO8" t="str">
            <v>AW Canada Corp</v>
          </cell>
          <cell r="AP8" t="str">
            <v>AWCC</v>
          </cell>
          <cell r="AQ8" t="str">
            <v>LOP</v>
          </cell>
          <cell r="AR8" t="str">
            <v>TWH LLC</v>
          </cell>
          <cell r="AS8" t="str">
            <v>TWNA</v>
          </cell>
          <cell r="AT8" t="str">
            <v>PWT Waste</v>
          </cell>
          <cell r="AU8" t="str">
            <v>UESGH</v>
          </cell>
          <cell r="AV8" t="str">
            <v>AWM</v>
          </cell>
          <cell r="AW8" t="str">
            <v>AWM OF DE</v>
          </cell>
          <cell r="AX8" t="str">
            <v>APP WASTE</v>
          </cell>
          <cell r="AY8" t="str">
            <v>AWWM</v>
          </cell>
          <cell r="AZ8" t="str">
            <v>Eliz Water Services LLC</v>
          </cell>
          <cell r="BA8" t="str">
            <v>AW Enterprise Inc.</v>
          </cell>
          <cell r="BB8" t="str">
            <v>AW Enterprise Holdings</v>
          </cell>
          <cell r="BC8" t="str">
            <v>AW (USA) Inc</v>
          </cell>
          <cell r="BD8" t="str">
            <v>AW Oper &amp; Maint</v>
          </cell>
          <cell r="BE8" t="str">
            <v>AW Services CDM</v>
          </cell>
          <cell r="BF8" t="str">
            <v>AW Engineering</v>
          </cell>
          <cell r="BG8" t="str">
            <v>Utility Mgmt &amp; Engineering</v>
          </cell>
          <cell r="BH8" t="str">
            <v>Philip Automated Mgmt Controls</v>
          </cell>
          <cell r="BI8" t="str">
            <v>Mobile Residuals Mgmt (USA)</v>
          </cell>
          <cell r="BJ8" t="str">
            <v>AAET, Inc</v>
          </cell>
          <cell r="BK8" t="str">
            <v>AW Industrials</v>
          </cell>
          <cell r="BL8" t="str">
            <v>AW Industrial Operations</v>
          </cell>
          <cell r="BM8" t="str">
            <v>AAET, LLP</v>
          </cell>
          <cell r="BN8" t="str">
            <v>Pridesa</v>
          </cell>
          <cell r="BO8" t="str">
            <v>Purchase Accounting</v>
          </cell>
          <cell r="BP8" t="str">
            <v>OTHER TOPSIDE ADJUSTMENTS</v>
          </cell>
          <cell r="BQ8" t="str">
            <v>CONSOLIDATION ADJUSTMENTS</v>
          </cell>
          <cell r="BR8" t="str">
            <v>Business Unit_IC</v>
          </cell>
          <cell r="BS8" t="str">
            <v>US 1120 Subtotal</v>
          </cell>
          <cell r="BT8" t="str">
            <v>Carbon</v>
          </cell>
          <cell r="BU8" t="str">
            <v>AWS UI</v>
          </cell>
          <cell r="BV8" t="str">
            <v>Prism Berlie</v>
          </cell>
          <cell r="BW8" t="str">
            <v>Bramer</v>
          </cell>
          <cell r="BX8" t="str">
            <v>Canarehab</v>
          </cell>
          <cell r="BY8" t="str">
            <v>Terratec</v>
          </cell>
          <cell r="BZ8" t="str">
            <v>AW Canada Corp</v>
          </cell>
          <cell r="CA8" t="str">
            <v>Trimax</v>
          </cell>
          <cell r="CB8" t="str">
            <v>HSC</v>
          </cell>
          <cell r="CC8" t="str">
            <v>TW Puerto Rico</v>
          </cell>
        </row>
        <row r="9">
          <cell r="F9">
            <v>6</v>
          </cell>
          <cell r="G9">
            <v>7</v>
          </cell>
          <cell r="H9">
            <v>8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  <cell r="P9">
            <v>16</v>
          </cell>
          <cell r="Q9">
            <v>17</v>
          </cell>
          <cell r="R9">
            <v>18</v>
          </cell>
          <cell r="S9">
            <v>19</v>
          </cell>
          <cell r="T9">
            <v>20</v>
          </cell>
          <cell r="U9">
            <v>21</v>
          </cell>
          <cell r="V9">
            <v>22</v>
          </cell>
          <cell r="W9">
            <v>23</v>
          </cell>
          <cell r="X9">
            <v>24</v>
          </cell>
          <cell r="Y9">
            <v>25</v>
          </cell>
          <cell r="Z9">
            <v>26</v>
          </cell>
          <cell r="AA9">
            <v>27</v>
          </cell>
          <cell r="AB9">
            <v>28</v>
          </cell>
          <cell r="AC9">
            <v>29</v>
          </cell>
          <cell r="AD9">
            <v>30</v>
          </cell>
          <cell r="AE9">
            <v>31</v>
          </cell>
          <cell r="AF9">
            <v>32</v>
          </cell>
          <cell r="AG9">
            <v>33</v>
          </cell>
          <cell r="AH9">
            <v>34</v>
          </cell>
          <cell r="AI9">
            <v>35</v>
          </cell>
          <cell r="AJ9">
            <v>36</v>
          </cell>
          <cell r="AK9">
            <v>37</v>
          </cell>
          <cell r="AL9">
            <v>38</v>
          </cell>
          <cell r="AM9">
            <v>39</v>
          </cell>
          <cell r="AN9">
            <v>40</v>
          </cell>
          <cell r="AO9">
            <v>41</v>
          </cell>
          <cell r="AP9">
            <v>42</v>
          </cell>
          <cell r="AQ9">
            <v>43</v>
          </cell>
          <cell r="AR9">
            <v>44</v>
          </cell>
          <cell r="AS9">
            <v>45</v>
          </cell>
          <cell r="AT9">
            <v>46</v>
          </cell>
          <cell r="AU9">
            <v>47</v>
          </cell>
          <cell r="AV9">
            <v>48</v>
          </cell>
          <cell r="AW9">
            <v>49</v>
          </cell>
          <cell r="AX9">
            <v>50</v>
          </cell>
          <cell r="AY9">
            <v>51</v>
          </cell>
          <cell r="AZ9">
            <v>52</v>
          </cell>
          <cell r="BN9">
            <v>66</v>
          </cell>
          <cell r="BO9">
            <v>67</v>
          </cell>
          <cell r="BP9">
            <v>68</v>
          </cell>
          <cell r="BQ9">
            <v>69</v>
          </cell>
          <cell r="BR9">
            <v>70</v>
          </cell>
          <cell r="BS9">
            <v>71</v>
          </cell>
          <cell r="BT9">
            <v>72</v>
          </cell>
          <cell r="BU9">
            <v>73</v>
          </cell>
          <cell r="BV9">
            <v>74</v>
          </cell>
          <cell r="BW9">
            <v>75</v>
          </cell>
          <cell r="BX9">
            <v>76</v>
          </cell>
          <cell r="BY9">
            <v>77</v>
          </cell>
          <cell r="BZ9">
            <v>78</v>
          </cell>
          <cell r="CA9">
            <v>79</v>
          </cell>
          <cell r="CB9">
            <v>80</v>
          </cell>
          <cell r="CC9">
            <v>81</v>
          </cell>
        </row>
        <row r="13">
          <cell r="F13">
            <v>0</v>
          </cell>
          <cell r="G13">
            <v>131194252</v>
          </cell>
          <cell r="H13">
            <v>3358922</v>
          </cell>
          <cell r="I13">
            <v>0</v>
          </cell>
          <cell r="J13">
            <v>8126226</v>
          </cell>
          <cell r="K13">
            <v>-8014967</v>
          </cell>
          <cell r="L13">
            <v>902590</v>
          </cell>
          <cell r="M13">
            <v>4609974</v>
          </cell>
          <cell r="N13">
            <v>53536</v>
          </cell>
          <cell r="O13">
            <v>17799</v>
          </cell>
          <cell r="P13">
            <v>-65890</v>
          </cell>
          <cell r="Q13">
            <v>22647444</v>
          </cell>
          <cell r="R13">
            <v>855617</v>
          </cell>
          <cell r="S13">
            <v>153191582</v>
          </cell>
          <cell r="T13">
            <v>2820916</v>
          </cell>
          <cell r="U13">
            <v>6041393</v>
          </cell>
          <cell r="V13">
            <v>17038247</v>
          </cell>
          <cell r="W13">
            <v>-198874</v>
          </cell>
          <cell r="X13">
            <v>33015</v>
          </cell>
          <cell r="Y13">
            <v>-1031</v>
          </cell>
          <cell r="Z13">
            <v>29516198</v>
          </cell>
          <cell r="AA13">
            <v>40794039</v>
          </cell>
          <cell r="AB13">
            <v>5591071</v>
          </cell>
          <cell r="AC13">
            <v>275152</v>
          </cell>
          <cell r="AD13">
            <v>35396916</v>
          </cell>
          <cell r="AE13">
            <v>483021</v>
          </cell>
          <cell r="AF13">
            <v>3527441</v>
          </cell>
          <cell r="AG13">
            <v>-185996</v>
          </cell>
          <cell r="AH13">
            <v>0</v>
          </cell>
          <cell r="AI13">
            <v>-98545089</v>
          </cell>
          <cell r="AJ13">
            <v>0</v>
          </cell>
          <cell r="AK13">
            <v>16069889</v>
          </cell>
          <cell r="AL13">
            <v>1368579</v>
          </cell>
          <cell r="AM13">
            <v>3059622</v>
          </cell>
          <cell r="AN13">
            <v>885621</v>
          </cell>
          <cell r="AO13">
            <v>0</v>
          </cell>
          <cell r="AP13">
            <v>0</v>
          </cell>
          <cell r="AQ13">
            <v>-5186</v>
          </cell>
          <cell r="AR13">
            <v>4069148</v>
          </cell>
          <cell r="AS13">
            <v>1517371</v>
          </cell>
          <cell r="AT13">
            <v>-216</v>
          </cell>
          <cell r="AU13">
            <v>19960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386448292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</row>
        <row r="14">
          <cell r="F14">
            <v>0</v>
          </cell>
          <cell r="G14">
            <v>5164881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-533569</v>
          </cell>
          <cell r="R14">
            <v>348</v>
          </cell>
          <cell r="S14">
            <v>-323356</v>
          </cell>
          <cell r="T14">
            <v>-69402</v>
          </cell>
          <cell r="U14">
            <v>161207</v>
          </cell>
          <cell r="V14">
            <v>-202549</v>
          </cell>
          <cell r="W14">
            <v>-3351</v>
          </cell>
          <cell r="X14">
            <v>0</v>
          </cell>
          <cell r="Y14">
            <v>0</v>
          </cell>
          <cell r="Z14">
            <v>756798</v>
          </cell>
          <cell r="AA14">
            <v>-1617861</v>
          </cell>
          <cell r="AB14">
            <v>59380</v>
          </cell>
          <cell r="AC14">
            <v>31279</v>
          </cell>
          <cell r="AD14">
            <v>641150</v>
          </cell>
          <cell r="AE14">
            <v>15594</v>
          </cell>
          <cell r="AF14">
            <v>0</v>
          </cell>
          <cell r="AG14">
            <v>14792</v>
          </cell>
          <cell r="AH14">
            <v>0</v>
          </cell>
          <cell r="AI14">
            <v>0</v>
          </cell>
          <cell r="AJ14">
            <v>0</v>
          </cell>
          <cell r="AK14">
            <v>691183</v>
          </cell>
          <cell r="AL14">
            <v>-26105</v>
          </cell>
          <cell r="AM14">
            <v>-67953</v>
          </cell>
          <cell r="AN14">
            <v>32361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4724827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</row>
        <row r="15">
          <cell r="F15">
            <v>0</v>
          </cell>
          <cell r="G15">
            <v>136359133</v>
          </cell>
          <cell r="H15">
            <v>3358922</v>
          </cell>
          <cell r="I15">
            <v>0</v>
          </cell>
          <cell r="J15">
            <v>8126226</v>
          </cell>
          <cell r="K15">
            <v>-8014967</v>
          </cell>
          <cell r="L15">
            <v>902590</v>
          </cell>
          <cell r="M15">
            <v>4609974</v>
          </cell>
          <cell r="N15">
            <v>53536</v>
          </cell>
          <cell r="O15">
            <v>17799</v>
          </cell>
          <cell r="P15">
            <v>-65890</v>
          </cell>
          <cell r="Q15">
            <v>22113875</v>
          </cell>
          <cell r="R15">
            <v>855965</v>
          </cell>
          <cell r="S15">
            <v>152868226</v>
          </cell>
          <cell r="T15">
            <v>2751514</v>
          </cell>
          <cell r="U15">
            <v>6202600</v>
          </cell>
          <cell r="V15">
            <v>16835698</v>
          </cell>
          <cell r="W15">
            <v>-202225</v>
          </cell>
          <cell r="X15">
            <v>33015</v>
          </cell>
          <cell r="Y15">
            <v>-1031</v>
          </cell>
          <cell r="Z15">
            <v>30272996</v>
          </cell>
          <cell r="AA15">
            <v>39176178</v>
          </cell>
          <cell r="AB15">
            <v>5650451</v>
          </cell>
          <cell r="AC15">
            <v>306431</v>
          </cell>
          <cell r="AD15">
            <v>36038066</v>
          </cell>
          <cell r="AE15">
            <v>498615</v>
          </cell>
          <cell r="AF15">
            <v>3527441</v>
          </cell>
          <cell r="AG15">
            <v>-171204</v>
          </cell>
          <cell r="AH15">
            <v>0</v>
          </cell>
          <cell r="AI15">
            <v>-98545089</v>
          </cell>
          <cell r="AJ15">
            <v>0</v>
          </cell>
          <cell r="AK15">
            <v>16761072</v>
          </cell>
          <cell r="AL15">
            <v>1342474</v>
          </cell>
          <cell r="AM15">
            <v>2991669</v>
          </cell>
          <cell r="AN15">
            <v>917982</v>
          </cell>
          <cell r="AO15">
            <v>0</v>
          </cell>
          <cell r="AP15">
            <v>0</v>
          </cell>
          <cell r="AQ15">
            <v>-5186</v>
          </cell>
          <cell r="AR15">
            <v>4069148</v>
          </cell>
          <cell r="AS15">
            <v>1517371</v>
          </cell>
          <cell r="AT15">
            <v>-216</v>
          </cell>
          <cell r="AU15">
            <v>19960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391173119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</row>
        <row r="16">
          <cell r="F16">
            <v>0</v>
          </cell>
          <cell r="G16">
            <v>47769054.344900936</v>
          </cell>
          <cell r="H16">
            <v>1354373.5290998882</v>
          </cell>
          <cell r="I16">
            <v>0</v>
          </cell>
          <cell r="J16">
            <v>3384290.3096034392</v>
          </cell>
          <cell r="K16">
            <v>-2805238.4499999997</v>
          </cell>
          <cell r="L16">
            <v>370823.84074999997</v>
          </cell>
          <cell r="M16">
            <v>1889989.3844999999</v>
          </cell>
          <cell r="N16">
            <v>20388.724999999999</v>
          </cell>
          <cell r="O16">
            <v>7270.8914999999997</v>
          </cell>
          <cell r="P16">
            <v>-22643.550000000003</v>
          </cell>
          <cell r="Q16">
            <v>8799537.0798321068</v>
          </cell>
          <cell r="R16">
            <v>332212.30826563743</v>
          </cell>
          <cell r="S16">
            <v>62244103.779226176</v>
          </cell>
          <cell r="T16">
            <v>1346322.2328207896</v>
          </cell>
          <cell r="U16">
            <v>2241876.0418914258</v>
          </cell>
          <cell r="V16">
            <v>6865616.4537778459</v>
          </cell>
          <cell r="W16">
            <v>-71731.458687836333</v>
          </cell>
          <cell r="X16">
            <v>11555.25</v>
          </cell>
          <cell r="Y16">
            <v>-360.84999999999997</v>
          </cell>
          <cell r="Z16">
            <v>11272646.682779903</v>
          </cell>
          <cell r="AA16">
            <v>15921438.408936299</v>
          </cell>
          <cell r="AB16">
            <v>2527045.4576913533</v>
          </cell>
          <cell r="AC16">
            <v>115625.52123411039</v>
          </cell>
          <cell r="AD16">
            <v>13978866.224329861</v>
          </cell>
          <cell r="AE16">
            <v>367491.53460763657</v>
          </cell>
          <cell r="AF16">
            <v>1345149.2075999998</v>
          </cell>
          <cell r="AG16">
            <v>32984.55000000001</v>
          </cell>
          <cell r="AH16">
            <v>0</v>
          </cell>
          <cell r="AI16">
            <v>-34408903.525969967</v>
          </cell>
          <cell r="AJ16">
            <v>0</v>
          </cell>
          <cell r="AK16">
            <v>6724603.0886847181</v>
          </cell>
          <cell r="AL16">
            <v>530256.64142640796</v>
          </cell>
          <cell r="AM16">
            <v>1048272.2152409867</v>
          </cell>
          <cell r="AN16">
            <v>356577.03522697376</v>
          </cell>
          <cell r="AO16">
            <v>0</v>
          </cell>
          <cell r="AP16">
            <v>0</v>
          </cell>
          <cell r="AQ16">
            <v>-1815.1</v>
          </cell>
          <cell r="AR16">
            <v>1424201.7999999998</v>
          </cell>
          <cell r="AS16">
            <v>531079.85</v>
          </cell>
          <cell r="AT16">
            <v>-75.599999999999994</v>
          </cell>
          <cell r="AU16">
            <v>6986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155509869.8542687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</row>
        <row r="17">
          <cell r="F17">
            <v>0</v>
          </cell>
          <cell r="G17">
            <v>0.35031796766338297</v>
          </cell>
          <cell r="H17">
            <v>0.40321672521716434</v>
          </cell>
          <cell r="I17">
            <v>0</v>
          </cell>
          <cell r="J17">
            <v>0.41646519671043353</v>
          </cell>
          <cell r="K17">
            <v>0.35</v>
          </cell>
          <cell r="L17">
            <v>0.41084417149536334</v>
          </cell>
          <cell r="M17">
            <v>0.40997831755667169</v>
          </cell>
          <cell r="N17">
            <v>0.38084139644351461</v>
          </cell>
          <cell r="O17">
            <v>0.40849999999999997</v>
          </cell>
          <cell r="P17">
            <v>0.34365685232964033</v>
          </cell>
          <cell r="Q17">
            <v>0.39791927375152963</v>
          </cell>
          <cell r="R17">
            <v>0.38811436012645079</v>
          </cell>
          <cell r="S17">
            <v>0.40717489440366877</v>
          </cell>
          <cell r="T17">
            <v>0.48930233784774113</v>
          </cell>
          <cell r="U17">
            <v>0.3614413378085683</v>
          </cell>
          <cell r="V17">
            <v>0.40780111723183948</v>
          </cell>
          <cell r="W17">
            <v>0.3547111320946289</v>
          </cell>
          <cell r="X17">
            <v>0.35</v>
          </cell>
          <cell r="Y17">
            <v>0.35</v>
          </cell>
          <cell r="Z17">
            <v>0.37236640479125033</v>
          </cell>
          <cell r="AA17">
            <v>0.40640611774166174</v>
          </cell>
          <cell r="AB17">
            <v>0.44722898361411384</v>
          </cell>
          <cell r="AC17">
            <v>0.37732971283620259</v>
          </cell>
          <cell r="AD17">
            <v>0.3878916872045759</v>
          </cell>
          <cell r="AE17">
            <v>0.73702462743326325</v>
          </cell>
          <cell r="AF17">
            <v>0.38133854190615801</v>
          </cell>
          <cell r="AG17">
            <v>-0.19266226256395885</v>
          </cell>
          <cell r="AH17">
            <v>0</v>
          </cell>
          <cell r="AI17">
            <v>0.34916913541952321</v>
          </cell>
          <cell r="AJ17">
            <v>0</v>
          </cell>
          <cell r="AK17">
            <v>0.40120363952166771</v>
          </cell>
          <cell r="AL17">
            <v>0.39498466370775742</v>
          </cell>
          <cell r="AM17">
            <v>0.35039712456190397</v>
          </cell>
          <cell r="AN17">
            <v>0.38843575933621111</v>
          </cell>
          <cell r="AO17">
            <v>0</v>
          </cell>
          <cell r="AP17">
            <v>0</v>
          </cell>
          <cell r="AQ17">
            <v>0.35</v>
          </cell>
          <cell r="AR17">
            <v>0.35</v>
          </cell>
          <cell r="AS17">
            <v>0.35</v>
          </cell>
          <cell r="AT17">
            <v>0.35</v>
          </cell>
          <cell r="AU17">
            <v>0.35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0.39754743437334378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</row>
        <row r="24">
          <cell r="F24">
            <v>0</v>
          </cell>
          <cell r="G24">
            <v>0.35031796766338297</v>
          </cell>
          <cell r="H24">
            <v>0.32152882338840716</v>
          </cell>
          <cell r="I24">
            <v>0</v>
          </cell>
          <cell r="J24">
            <v>0.33370227300557775</v>
          </cell>
          <cell r="K24">
            <v>0.35</v>
          </cell>
          <cell r="L24">
            <v>0.32032770776321473</v>
          </cell>
          <cell r="M24">
            <v>0.31965261723818833</v>
          </cell>
          <cell r="N24">
            <v>0.38084139644351461</v>
          </cell>
          <cell r="O24">
            <v>0.31850000000000001</v>
          </cell>
          <cell r="P24">
            <v>0.34365685232964033</v>
          </cell>
          <cell r="Q24">
            <v>0.33977266010346024</v>
          </cell>
          <cell r="R24">
            <v>0.32528031358955745</v>
          </cell>
          <cell r="S24">
            <v>0.32632691761450983</v>
          </cell>
          <cell r="T24">
            <v>0.4146314194155073</v>
          </cell>
          <cell r="U24">
            <v>0.3614413378085683</v>
          </cell>
          <cell r="V24">
            <v>0.3392221588995179</v>
          </cell>
          <cell r="W24">
            <v>0.3547111320946289</v>
          </cell>
          <cell r="X24">
            <v>0.35</v>
          </cell>
          <cell r="Y24">
            <v>0.35</v>
          </cell>
          <cell r="Z24">
            <v>0.32723813010098524</v>
          </cell>
          <cell r="AA24">
            <v>0.31108870779283698</v>
          </cell>
          <cell r="AB24">
            <v>0.3263694196231105</v>
          </cell>
          <cell r="AC24">
            <v>0.3284572832283213</v>
          </cell>
          <cell r="AD24">
            <v>0.32506102265413139</v>
          </cell>
          <cell r="AE24">
            <v>0.73702462743326325</v>
          </cell>
          <cell r="AF24">
            <v>0.33332109696519374</v>
          </cell>
          <cell r="AG24">
            <v>0.63049023387304026</v>
          </cell>
          <cell r="AH24">
            <v>0</v>
          </cell>
          <cell r="AI24">
            <v>0.34916913541952321</v>
          </cell>
          <cell r="AJ24">
            <v>0</v>
          </cell>
          <cell r="AK24">
            <v>0.31276660792657446</v>
          </cell>
          <cell r="AL24">
            <v>0.33230656461344404</v>
          </cell>
          <cell r="AM24">
            <v>0.35092966977328932</v>
          </cell>
          <cell r="AN24">
            <v>0.32495289774908775</v>
          </cell>
          <cell r="AO24">
            <v>0</v>
          </cell>
          <cell r="AP24">
            <v>0</v>
          </cell>
          <cell r="AQ24">
            <v>0.35</v>
          </cell>
          <cell r="AR24">
            <v>0.35</v>
          </cell>
          <cell r="AS24">
            <v>0.35</v>
          </cell>
          <cell r="AT24">
            <v>0.35</v>
          </cell>
          <cell r="AU24">
            <v>0.35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</row>
        <row r="25">
          <cell r="F25">
            <v>0</v>
          </cell>
          <cell r="G25">
            <v>0</v>
          </cell>
          <cell r="H25">
            <v>8.1687901828757264E-2</v>
          </cell>
          <cell r="I25">
            <v>0</v>
          </cell>
          <cell r="J25">
            <v>8.2762923704855731E-2</v>
          </cell>
          <cell r="K25">
            <v>0</v>
          </cell>
          <cell r="L25">
            <v>9.0516463732148597E-2</v>
          </cell>
          <cell r="M25">
            <v>9.032570031848336E-2</v>
          </cell>
          <cell r="N25">
            <v>0</v>
          </cell>
          <cell r="O25">
            <v>8.9999999999999983E-2</v>
          </cell>
          <cell r="P25">
            <v>0</v>
          </cell>
          <cell r="Q25">
            <v>5.814661364806939E-2</v>
          </cell>
          <cell r="R25">
            <v>6.283404653689334E-2</v>
          </cell>
          <cell r="S25">
            <v>8.0847976789158921E-2</v>
          </cell>
          <cell r="T25">
            <v>7.4670918432233779E-2</v>
          </cell>
          <cell r="U25">
            <v>0</v>
          </cell>
          <cell r="V25">
            <v>6.8578958332321541E-2</v>
          </cell>
          <cell r="W25">
            <v>0</v>
          </cell>
          <cell r="X25">
            <v>0</v>
          </cell>
          <cell r="Y25">
            <v>0</v>
          </cell>
          <cell r="Z25">
            <v>4.5128274690265126E-2</v>
          </cell>
          <cell r="AA25">
            <v>9.5317409948824719E-2</v>
          </cell>
          <cell r="AB25">
            <v>0.12085956399100338</v>
          </cell>
          <cell r="AC25">
            <v>4.8872429607881296E-2</v>
          </cell>
          <cell r="AD25">
            <v>6.2830664550444476E-2</v>
          </cell>
          <cell r="AE25">
            <v>0</v>
          </cell>
          <cell r="AF25">
            <v>4.8017444940964285E-2</v>
          </cell>
          <cell r="AG25">
            <v>-0.82315249643699917</v>
          </cell>
          <cell r="AH25">
            <v>0</v>
          </cell>
          <cell r="AI25">
            <v>0</v>
          </cell>
          <cell r="AJ25">
            <v>0</v>
          </cell>
          <cell r="AK25">
            <v>8.8437031595093266E-2</v>
          </cell>
          <cell r="AL25">
            <v>6.2678099094313447E-2</v>
          </cell>
          <cell r="AM25">
            <v>-5.3254521138535068E-4</v>
          </cell>
          <cell r="AN25">
            <v>6.3482861587123393E-2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</row>
        <row r="27">
          <cell r="F27">
            <v>0</v>
          </cell>
          <cell r="G27">
            <v>0.35031796766338297</v>
          </cell>
          <cell r="H27">
            <v>0.4032167252171644</v>
          </cell>
          <cell r="I27">
            <v>0</v>
          </cell>
          <cell r="J27">
            <v>0.41646519671043353</v>
          </cell>
          <cell r="K27">
            <v>0.35</v>
          </cell>
          <cell r="L27">
            <v>0.41084417149536334</v>
          </cell>
          <cell r="M27">
            <v>0.40997831755667169</v>
          </cell>
          <cell r="N27">
            <v>0.38084139644351461</v>
          </cell>
          <cell r="O27">
            <v>0.40849999999999997</v>
          </cell>
          <cell r="P27">
            <v>0.34365685232964033</v>
          </cell>
          <cell r="Q27">
            <v>0.39791927375152958</v>
          </cell>
          <cell r="R27">
            <v>0.38811436012645079</v>
          </cell>
          <cell r="S27">
            <v>0.40717489440366877</v>
          </cell>
          <cell r="T27">
            <v>0.48930233784774113</v>
          </cell>
          <cell r="U27">
            <v>0.3614413378085683</v>
          </cell>
          <cell r="V27">
            <v>0.40780111723183948</v>
          </cell>
          <cell r="W27">
            <v>0.3547111320946289</v>
          </cell>
          <cell r="X27">
            <v>0.35</v>
          </cell>
          <cell r="Y27">
            <v>0.35</v>
          </cell>
          <cell r="Z27">
            <v>0.37236640479125033</v>
          </cell>
          <cell r="AA27">
            <v>0.40640611774166174</v>
          </cell>
          <cell r="AB27">
            <v>0.4472289836141139</v>
          </cell>
          <cell r="AC27">
            <v>0.37732971283620259</v>
          </cell>
          <cell r="AD27">
            <v>0.3878916872045759</v>
          </cell>
          <cell r="AE27">
            <v>0.73702462743326325</v>
          </cell>
          <cell r="AF27">
            <v>0.38133854190615801</v>
          </cell>
          <cell r="AG27">
            <v>-0.19266226256395885</v>
          </cell>
          <cell r="AH27">
            <v>0</v>
          </cell>
          <cell r="AI27">
            <v>0.34916913541952321</v>
          </cell>
          <cell r="AJ27">
            <v>0</v>
          </cell>
          <cell r="AK27">
            <v>0.40120363952166771</v>
          </cell>
          <cell r="AL27">
            <v>0.39498466370775742</v>
          </cell>
          <cell r="AM27">
            <v>0.35039712456190397</v>
          </cell>
          <cell r="AN27">
            <v>0.38843575933621111</v>
          </cell>
          <cell r="AO27">
            <v>0</v>
          </cell>
          <cell r="AP27">
            <v>0</v>
          </cell>
          <cell r="AQ27">
            <v>0.35</v>
          </cell>
          <cell r="AR27">
            <v>0.35</v>
          </cell>
          <cell r="AS27">
            <v>0.35</v>
          </cell>
          <cell r="AT27">
            <v>0.35</v>
          </cell>
          <cell r="AU27">
            <v>0.35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</row>
        <row r="28">
          <cell r="F28">
            <v>-0.43139366427831566</v>
          </cell>
          <cell r="G28">
            <v>-4.6224289582674771E-6</v>
          </cell>
          <cell r="H28">
            <v>9.516710980831955E-4</v>
          </cell>
          <cell r="I28">
            <v>-0.40240244367378175</v>
          </cell>
          <cell r="J28">
            <v>-7.0621220710592736E-4</v>
          </cell>
          <cell r="K28">
            <v>0</v>
          </cell>
          <cell r="L28">
            <v>2.9713359757846391E-3</v>
          </cell>
          <cell r="M28">
            <v>1.4901817543527818E-4</v>
          </cell>
          <cell r="N28">
            <v>1.1640931972098367E-3</v>
          </cell>
          <cell r="O28">
            <v>0</v>
          </cell>
          <cell r="P28">
            <v>-3.565620910481182E-4</v>
          </cell>
          <cell r="Q28">
            <v>1.649781665225003E-5</v>
          </cell>
          <cell r="R28">
            <v>3.3826191872660116E-4</v>
          </cell>
          <cell r="S28">
            <v>8.4851946933250932E-5</v>
          </cell>
          <cell r="T28">
            <v>-4.6600970653962182E-2</v>
          </cell>
          <cell r="U28">
            <v>1.3625060861852112E-3</v>
          </cell>
          <cell r="V28">
            <v>1.501437528453331E-4</v>
          </cell>
          <cell r="W28">
            <v>-3.8272360784297188E-5</v>
          </cell>
          <cell r="X28">
            <v>0</v>
          </cell>
          <cell r="Y28">
            <v>0</v>
          </cell>
          <cell r="Z28">
            <v>-7.2347869234651307E-4</v>
          </cell>
          <cell r="AA28">
            <v>1.1649322003065565E-4</v>
          </cell>
          <cell r="AB28">
            <v>1.4489304202719433E-3</v>
          </cell>
          <cell r="AC28">
            <v>4.8531111161503881E-4</v>
          </cell>
          <cell r="AD28">
            <v>2.4402572394011113E-4</v>
          </cell>
          <cell r="AE28">
            <v>0.28108343809268005</v>
          </cell>
          <cell r="AF28">
            <v>4.6736631218458058E-6</v>
          </cell>
          <cell r="AG28">
            <v>0.46877798612543625</v>
          </cell>
          <cell r="AH28">
            <v>0</v>
          </cell>
          <cell r="AI28">
            <v>-1.7910325483561085E-4</v>
          </cell>
          <cell r="AJ28">
            <v>-0.35</v>
          </cell>
          <cell r="AK28">
            <v>-8.5909297573943944E-4</v>
          </cell>
          <cell r="AL28">
            <v>-2.3702046924850562E-4</v>
          </cell>
          <cell r="AM28">
            <v>-3.8676478639754208E-5</v>
          </cell>
          <cell r="AN28">
            <v>-6.8859718670438719E-4</v>
          </cell>
          <cell r="AO28">
            <v>-0.40849999999999997</v>
          </cell>
          <cell r="AP28">
            <v>-0.35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-2.7045431677533704E-2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-0.34971972758688552</v>
          </cell>
          <cell r="BA28">
            <v>0</v>
          </cell>
          <cell r="BB28">
            <v>0</v>
          </cell>
          <cell r="BC28">
            <v>-0.36165419047337255</v>
          </cell>
          <cell r="BD28">
            <v>0</v>
          </cell>
          <cell r="BE28">
            <v>-0.35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-0.34445749535158643</v>
          </cell>
          <cell r="BM28">
            <v>0</v>
          </cell>
          <cell r="BN28">
            <v>0</v>
          </cell>
          <cell r="BO28">
            <v>0</v>
          </cell>
          <cell r="BP28">
            <v>-0.38997499999999996</v>
          </cell>
          <cell r="BQ28">
            <v>-0.35000000000000003</v>
          </cell>
          <cell r="BR28">
            <v>-0.39781472765087172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-0.44507221602105779</v>
          </cell>
        </row>
        <row r="29">
          <cell r="F29">
            <v>0</v>
          </cell>
          <cell r="G29">
            <v>0.17053829483973929</v>
          </cell>
          <cell r="H29">
            <v>0.2725350991026525</v>
          </cell>
          <cell r="I29">
            <v>0</v>
          </cell>
          <cell r="J29">
            <v>0.10090080618316195</v>
          </cell>
          <cell r="K29">
            <v>0.16464065953109974</v>
          </cell>
          <cell r="L29">
            <v>0.72314610038888083</v>
          </cell>
          <cell r="M29">
            <v>0.44745004668139121</v>
          </cell>
          <cell r="N29">
            <v>-0.29127549686192467</v>
          </cell>
          <cell r="O29">
            <v>0.31850000000000001</v>
          </cell>
          <cell r="P29">
            <v>0.39089826225527391</v>
          </cell>
          <cell r="Q29">
            <v>-1.6372149616618856</v>
          </cell>
          <cell r="R29">
            <v>0.17155540444922279</v>
          </cell>
          <cell r="S29">
            <v>-5.3877205352464673E-2</v>
          </cell>
          <cell r="T29">
            <v>-0.37397923540119105</v>
          </cell>
          <cell r="U29">
            <v>1.8866177409734865E-2</v>
          </cell>
          <cell r="V29">
            <v>-3.4462958929573594E-2</v>
          </cell>
          <cell r="W29">
            <v>1.2198283841031028</v>
          </cell>
          <cell r="X29">
            <v>0.39261699227623809</v>
          </cell>
          <cell r="Y29">
            <v>0.35</v>
          </cell>
          <cell r="Z29">
            <v>0.1398306084780182</v>
          </cell>
          <cell r="AA29">
            <v>0.10427985383042604</v>
          </cell>
          <cell r="AB29">
            <v>5.4476095436545739E-2</v>
          </cell>
          <cell r="AC29">
            <v>0.34238969098108551</v>
          </cell>
          <cell r="AD29">
            <v>-0.24156110550340648</v>
          </cell>
          <cell r="AE29">
            <v>-4.7510551126129439</v>
          </cell>
          <cell r="AF29">
            <v>0.19990001276337377</v>
          </cell>
          <cell r="AG29">
            <v>0.9596602962318832</v>
          </cell>
          <cell r="AH29">
            <v>0</v>
          </cell>
          <cell r="AI29">
            <v>0.30057390062132699</v>
          </cell>
          <cell r="AJ29">
            <v>0</v>
          </cell>
          <cell r="AK29">
            <v>-0.46273060543086247</v>
          </cell>
          <cell r="AL29">
            <v>-6.3151084657703749E-2</v>
          </cell>
          <cell r="AM29">
            <v>-0.98011559740727683</v>
          </cell>
          <cell r="AN29">
            <v>-0.7752963248959579</v>
          </cell>
          <cell r="AO29">
            <v>0</v>
          </cell>
          <cell r="AP29">
            <v>0</v>
          </cell>
          <cell r="AQ29">
            <v>0.32561199999999996</v>
          </cell>
          <cell r="AR29">
            <v>0.31850000000000001</v>
          </cell>
          <cell r="AS29">
            <v>3.081050393740227E-2</v>
          </cell>
          <cell r="AT29">
            <v>0.35</v>
          </cell>
          <cell r="AU29">
            <v>0.35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</row>
        <row r="30">
          <cell r="F30">
            <v>0</v>
          </cell>
          <cell r="G30">
            <v>0</v>
          </cell>
          <cell r="H30">
            <v>0.10686934790976749</v>
          </cell>
          <cell r="I30">
            <v>0</v>
          </cell>
          <cell r="J30">
            <v>8.9820004220693E-2</v>
          </cell>
          <cell r="K30">
            <v>4.6523263289792706E-2</v>
          </cell>
          <cell r="L30">
            <v>0.20434269712715628</v>
          </cell>
          <cell r="M30">
            <v>0.12643800377182171</v>
          </cell>
          <cell r="N30">
            <v>0</v>
          </cell>
          <cell r="O30">
            <v>0.09</v>
          </cell>
          <cell r="P30">
            <v>0</v>
          </cell>
          <cell r="Q30">
            <v>3.000993737883928E-2</v>
          </cell>
          <cell r="R30">
            <v>7.1213172321724597E-2</v>
          </cell>
          <cell r="S30">
            <v>7.145769382567578E-2</v>
          </cell>
          <cell r="T30">
            <v>3.3228422641637771E-2</v>
          </cell>
          <cell r="U30">
            <v>0</v>
          </cell>
          <cell r="V30">
            <v>4.2631625005604544E-2</v>
          </cell>
          <cell r="W30">
            <v>0</v>
          </cell>
          <cell r="X30">
            <v>0</v>
          </cell>
          <cell r="Y30">
            <v>0</v>
          </cell>
          <cell r="Z30">
            <v>4.3439044945666042E-2</v>
          </cell>
          <cell r="AA30">
            <v>6.7895098828659461E-2</v>
          </cell>
          <cell r="AB30">
            <v>9.6325974275908249E-2</v>
          </cell>
          <cell r="AC30">
            <v>5.2655773089210954E-2</v>
          </cell>
          <cell r="AD30">
            <v>-4.9902798175181007E-2</v>
          </cell>
          <cell r="AE30">
            <v>0</v>
          </cell>
          <cell r="AF30">
            <v>3.3246291042917507E-2</v>
          </cell>
          <cell r="AG30">
            <v>-0.82315249643699917</v>
          </cell>
          <cell r="AH30">
            <v>0</v>
          </cell>
          <cell r="AI30">
            <v>8.4935142264166999E-2</v>
          </cell>
          <cell r="AJ30">
            <v>0</v>
          </cell>
          <cell r="AK30">
            <v>-6.3516462484369388E-2</v>
          </cell>
          <cell r="AL30">
            <v>-1.2131478376079695E-2</v>
          </cell>
          <cell r="AM30">
            <v>-9.3763685498371191E-2</v>
          </cell>
          <cell r="AN30">
            <v>5.1505943222741428E-2</v>
          </cell>
          <cell r="AO30">
            <v>0</v>
          </cell>
          <cell r="AP30">
            <v>0</v>
          </cell>
          <cell r="AQ30">
            <v>6.9680000000000006E-2</v>
          </cell>
          <cell r="AR30">
            <v>0.09</v>
          </cell>
          <cell r="AS30">
            <v>8.7062648488734819E-3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</row>
        <row r="32">
          <cell r="F32" t="e">
            <v>#DIV/0!</v>
          </cell>
          <cell r="G32">
            <v>0.17053829483973929</v>
          </cell>
          <cell r="H32">
            <v>0.37940444701241999</v>
          </cell>
          <cell r="I32" t="e">
            <v>#DIV/0!</v>
          </cell>
          <cell r="J32">
            <v>0.19072081040385497</v>
          </cell>
          <cell r="K32">
            <v>0.21116392282089244</v>
          </cell>
          <cell r="L32">
            <v>0.92748879751603719</v>
          </cell>
          <cell r="M32">
            <v>0.57388805045321301</v>
          </cell>
          <cell r="N32">
            <v>-0.29127549686192467</v>
          </cell>
          <cell r="O32">
            <v>0.40849999999999997</v>
          </cell>
          <cell r="P32">
            <v>0.39089826225527391</v>
          </cell>
          <cell r="Q32">
            <v>-1.6072050242830462</v>
          </cell>
          <cell r="R32">
            <v>0.2427685767709474</v>
          </cell>
          <cell r="S32">
            <v>1.7580488473211111E-2</v>
          </cell>
          <cell r="T32">
            <v>-0.34075081275955327</v>
          </cell>
          <cell r="U32">
            <v>1.8866177409734865E-2</v>
          </cell>
          <cell r="V32">
            <v>8.1686660760309452E-3</v>
          </cell>
          <cell r="W32">
            <v>1.2198283841031028</v>
          </cell>
          <cell r="X32">
            <v>0.39261699227623809</v>
          </cell>
          <cell r="Y32">
            <v>0.35</v>
          </cell>
          <cell r="Z32">
            <v>0.18326965342368426</v>
          </cell>
          <cell r="AA32">
            <v>0.1721749526590855</v>
          </cell>
          <cell r="AB32">
            <v>0.150802069712454</v>
          </cell>
          <cell r="AC32">
            <v>0.39504546407029645</v>
          </cell>
          <cell r="AD32">
            <v>-0.29146390367858749</v>
          </cell>
          <cell r="AE32">
            <v>-4.7510551126129439</v>
          </cell>
          <cell r="AF32">
            <v>0.23314630380629126</v>
          </cell>
          <cell r="AG32">
            <v>0.13650779979488412</v>
          </cell>
          <cell r="AH32">
            <v>0</v>
          </cell>
          <cell r="AI32">
            <v>0.38550904288549404</v>
          </cell>
          <cell r="AJ32" t="e">
            <v>#DIV/0!</v>
          </cell>
          <cell r="AK32">
            <v>-0.52624706791523179</v>
          </cell>
          <cell r="AL32">
            <v>-7.5282563033783445E-2</v>
          </cell>
          <cell r="AM32">
            <v>-1.073879282905648</v>
          </cell>
          <cell r="AN32">
            <v>-0.72379038167321641</v>
          </cell>
          <cell r="AO32">
            <v>0</v>
          </cell>
          <cell r="AP32">
            <v>0</v>
          </cell>
          <cell r="AQ32">
            <v>0.39529199999999992</v>
          </cell>
          <cell r="AR32">
            <v>0.40850000000000003</v>
          </cell>
          <cell r="AS32">
            <v>3.9516768786275747E-2</v>
          </cell>
          <cell r="AT32">
            <v>0.35</v>
          </cell>
          <cell r="AU32">
            <v>0.35</v>
          </cell>
          <cell r="AV32">
            <v>0</v>
          </cell>
          <cell r="AW32" t="e">
            <v>#DIV/0!</v>
          </cell>
          <cell r="AX32" t="e">
            <v>#DIV/0!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 t="e">
            <v>#DIV/0!</v>
          </cell>
        </row>
        <row r="34">
          <cell r="F34">
            <v>0</v>
          </cell>
          <cell r="G34">
            <v>0.17977967282364368</v>
          </cell>
          <cell r="H34">
            <v>4.8993724285754658E-2</v>
          </cell>
          <cell r="I34">
            <v>0</v>
          </cell>
          <cell r="J34">
            <v>0.23280146682241581</v>
          </cell>
          <cell r="K34">
            <v>0.18535934046890024</v>
          </cell>
          <cell r="L34">
            <v>-0.4028183926256661</v>
          </cell>
          <cell r="M34">
            <v>-0.12779742944320288</v>
          </cell>
          <cell r="N34">
            <v>0.67211689330543933</v>
          </cell>
          <cell r="O34">
            <v>0</v>
          </cell>
          <cell r="P34">
            <v>-4.7241409925633582E-2</v>
          </cell>
          <cell r="Q34">
            <v>1.9769876217653459</v>
          </cell>
          <cell r="R34">
            <v>0.15372490914033465</v>
          </cell>
          <cell r="S34">
            <v>0.38020412296697448</v>
          </cell>
          <cell r="T34">
            <v>0.78861065481669834</v>
          </cell>
          <cell r="U34">
            <v>0.34257516039883346</v>
          </cell>
          <cell r="V34">
            <v>0.37368511782909147</v>
          </cell>
          <cell r="W34">
            <v>-0.86511725200847389</v>
          </cell>
          <cell r="X34">
            <v>-4.2616992276238108E-2</v>
          </cell>
          <cell r="Y34">
            <v>0</v>
          </cell>
          <cell r="Z34">
            <v>0.18740752162296703</v>
          </cell>
          <cell r="AA34">
            <v>0.20680885396241094</v>
          </cell>
          <cell r="AB34">
            <v>0.27189332418656476</v>
          </cell>
          <cell r="AC34">
            <v>-1.393240775276422E-2</v>
          </cell>
          <cell r="AD34">
            <v>0.56662212815753787</v>
          </cell>
          <cell r="AE34">
            <v>5.4880797400462074</v>
          </cell>
          <cell r="AF34">
            <v>0.13342108420181997</v>
          </cell>
          <cell r="AG34">
            <v>-0.32917006235884294</v>
          </cell>
          <cell r="AH34">
            <v>0</v>
          </cell>
          <cell r="AI34">
            <v>4.8595234798196218E-2</v>
          </cell>
          <cell r="AJ34">
            <v>0</v>
          </cell>
          <cell r="AK34">
            <v>0.77549721335743693</v>
          </cell>
          <cell r="AL34">
            <v>0.39545764927114779</v>
          </cell>
          <cell r="AM34">
            <v>1.3310452671805661</v>
          </cell>
          <cell r="AN34">
            <v>1.1002492226450458</v>
          </cell>
          <cell r="AO34">
            <v>0</v>
          </cell>
          <cell r="AP34">
            <v>0</v>
          </cell>
          <cell r="AQ34">
            <v>2.4388000000000021E-2</v>
          </cell>
          <cell r="AR34">
            <v>3.1499999999999972E-2</v>
          </cell>
          <cell r="AS34">
            <v>0.31918949606259772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</row>
        <row r="35">
          <cell r="F35">
            <v>0</v>
          </cell>
          <cell r="G35">
            <v>0</v>
          </cell>
          <cell r="H35">
            <v>-2.5181446081010223E-2</v>
          </cell>
          <cell r="I35">
            <v>0</v>
          </cell>
          <cell r="J35">
            <v>-7.057080515837269E-3</v>
          </cell>
          <cell r="K35">
            <v>-4.6523263289792706E-2</v>
          </cell>
          <cell r="L35">
            <v>-0.11382623339500768</v>
          </cell>
          <cell r="M35">
            <v>-3.6112303453338351E-2</v>
          </cell>
          <cell r="N35">
            <v>0</v>
          </cell>
          <cell r="O35">
            <v>0</v>
          </cell>
          <cell r="P35">
            <v>0</v>
          </cell>
          <cell r="Q35">
            <v>2.813667626923011E-2</v>
          </cell>
          <cell r="R35">
            <v>-8.3791257848312567E-3</v>
          </cell>
          <cell r="S35">
            <v>9.3902829634831403E-3</v>
          </cell>
          <cell r="T35">
            <v>4.1442495790596008E-2</v>
          </cell>
          <cell r="U35">
            <v>0</v>
          </cell>
          <cell r="V35">
            <v>2.5947333326716997E-2</v>
          </cell>
          <cell r="W35">
            <v>0</v>
          </cell>
          <cell r="X35">
            <v>0</v>
          </cell>
          <cell r="Y35">
            <v>0</v>
          </cell>
          <cell r="Z35">
            <v>1.6892297445990842E-3</v>
          </cell>
          <cell r="AA35">
            <v>2.7422311120165258E-2</v>
          </cell>
          <cell r="AB35">
            <v>2.453358971509513E-2</v>
          </cell>
          <cell r="AC35">
            <v>-3.7833434813296582E-3</v>
          </cell>
          <cell r="AD35">
            <v>0.11273346272562548</v>
          </cell>
          <cell r="AE35">
            <v>0</v>
          </cell>
          <cell r="AF35">
            <v>1.4771153898046778E-2</v>
          </cell>
          <cell r="AG35">
            <v>0</v>
          </cell>
          <cell r="AH35">
            <v>0</v>
          </cell>
          <cell r="AI35">
            <v>-8.4935142264166999E-2</v>
          </cell>
          <cell r="AJ35">
            <v>0</v>
          </cell>
          <cell r="AK35">
            <v>0.15195349407946265</v>
          </cell>
          <cell r="AL35">
            <v>7.4809577470393143E-2</v>
          </cell>
          <cell r="AM35">
            <v>9.3231140286985842E-2</v>
          </cell>
          <cell r="AN35">
            <v>1.1976918364381965E-2</v>
          </cell>
          <cell r="AO35">
            <v>0</v>
          </cell>
          <cell r="AP35">
            <v>0</v>
          </cell>
          <cell r="AQ35">
            <v>-6.9680000000000006E-2</v>
          </cell>
          <cell r="AR35">
            <v>-0.09</v>
          </cell>
          <cell r="AS35">
            <v>-8.7062648488734819E-3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</row>
        <row r="37">
          <cell r="F37">
            <v>0</v>
          </cell>
          <cell r="G37">
            <v>0.17977967282364368</v>
          </cell>
          <cell r="H37">
            <v>2.3812278204744436E-2</v>
          </cell>
          <cell r="I37">
            <v>0</v>
          </cell>
          <cell r="J37">
            <v>0.22574438630657856</v>
          </cell>
          <cell r="K37">
            <v>0.13883607717910754</v>
          </cell>
          <cell r="L37">
            <v>-0.51664462602067374</v>
          </cell>
          <cell r="M37">
            <v>-0.16390973289654123</v>
          </cell>
          <cell r="N37">
            <v>0.67211689330543933</v>
          </cell>
          <cell r="O37">
            <v>0</v>
          </cell>
          <cell r="P37">
            <v>-4.7241409925633582E-2</v>
          </cell>
          <cell r="Q37">
            <v>2.005124298034576</v>
          </cell>
          <cell r="R37">
            <v>0.14534578335550341</v>
          </cell>
          <cell r="S37">
            <v>0.38959440593045763</v>
          </cell>
          <cell r="T37">
            <v>0.83005315060729434</v>
          </cell>
          <cell r="U37">
            <v>0.34257516039883346</v>
          </cell>
          <cell r="V37">
            <v>0.39963245115580848</v>
          </cell>
          <cell r="W37">
            <v>-0.86511725200847389</v>
          </cell>
          <cell r="X37">
            <v>-4.2616992276238108E-2</v>
          </cell>
          <cell r="Y37">
            <v>0</v>
          </cell>
          <cell r="Z37">
            <v>0.18909675136756612</v>
          </cell>
          <cell r="AA37">
            <v>0.23423116508257619</v>
          </cell>
          <cell r="AB37">
            <v>0.29642691390165987</v>
          </cell>
          <cell r="AC37">
            <v>-1.7715751234093878E-2</v>
          </cell>
          <cell r="AD37">
            <v>0.67935559088316333</v>
          </cell>
          <cell r="AE37">
            <v>5.4880797400462074</v>
          </cell>
          <cell r="AF37">
            <v>0.14819223809986676</v>
          </cell>
          <cell r="AG37">
            <v>-0.32917006235884294</v>
          </cell>
          <cell r="AH37">
            <v>0</v>
          </cell>
          <cell r="AI37">
            <v>-3.633990746597078E-2</v>
          </cell>
          <cell r="AJ37">
            <v>0</v>
          </cell>
          <cell r="AK37">
            <v>0.92745070743689961</v>
          </cell>
          <cell r="AL37">
            <v>0.47026722674154092</v>
          </cell>
          <cell r="AM37">
            <v>1.424276407467552</v>
          </cell>
          <cell r="AN37">
            <v>1.1122261410094276</v>
          </cell>
          <cell r="AO37">
            <v>0</v>
          </cell>
          <cell r="AP37">
            <v>0</v>
          </cell>
          <cell r="AQ37">
            <v>-4.5291999999999985E-2</v>
          </cell>
          <cell r="AR37">
            <v>-5.8500000000000024E-2</v>
          </cell>
          <cell r="AS37">
            <v>0.31048323121372423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</row>
        <row r="52">
          <cell r="F52">
            <v>0</v>
          </cell>
          <cell r="G52">
            <v>-23254454.027645223</v>
          </cell>
          <cell r="H52">
            <v>-915424.14014807972</v>
          </cell>
          <cell r="I52">
            <v>0</v>
          </cell>
          <cell r="J52">
            <v>-819942.75462657143</v>
          </cell>
          <cell r="K52">
            <v>1319589.453</v>
          </cell>
          <cell r="L52">
            <v>-652704.43874999997</v>
          </cell>
          <cell r="M52">
            <v>-2062733.0814999999</v>
          </cell>
          <cell r="N52">
            <v>15593.724999999999</v>
          </cell>
          <cell r="O52">
            <v>-5668.9814999999999</v>
          </cell>
          <cell r="P52">
            <v>25756.286499999998</v>
          </cell>
          <cell r="Q52">
            <v>36205167.010320731</v>
          </cell>
          <cell r="R52">
            <v>-146845.421769379</v>
          </cell>
          <cell r="S52">
            <v>8236112.8040689789</v>
          </cell>
          <cell r="T52">
            <v>1029009.1019156728</v>
          </cell>
          <cell r="U52">
            <v>-117019.35200162148</v>
          </cell>
          <cell r="V52">
            <v>580207.96872470435</v>
          </cell>
          <cell r="W52">
            <v>246679.79497524997</v>
          </cell>
          <cell r="X52">
            <v>-12962.25</v>
          </cell>
          <cell r="Y52">
            <v>360.84999999999997</v>
          </cell>
          <cell r="Z52">
            <v>-4233091.4511326114</v>
          </cell>
          <cell r="AA52">
            <v>-4085286.1154747522</v>
          </cell>
          <cell r="AB52">
            <v>-307814.50793552533</v>
          </cell>
          <cell r="AC52">
            <v>-104918.81539702501</v>
          </cell>
          <cell r="AD52">
            <v>8705395.0631647259</v>
          </cell>
          <cell r="AE52">
            <v>2368947.3449755032</v>
          </cell>
          <cell r="AF52">
            <v>-705135.50092204788</v>
          </cell>
          <cell r="AG52">
            <v>164297.68135608334</v>
          </cell>
          <cell r="AH52">
            <v>0</v>
          </cell>
          <cell r="AI52">
            <v>29620081.787805825</v>
          </cell>
          <cell r="AJ52">
            <v>0</v>
          </cell>
          <cell r="AK52">
            <v>7755860.9942302769</v>
          </cell>
          <cell r="AL52">
            <v>84778.689224766189</v>
          </cell>
          <cell r="AM52">
            <v>2932181.4491798305</v>
          </cell>
          <cell r="AN52">
            <v>711708.07092064118</v>
          </cell>
          <cell r="AO52">
            <v>0</v>
          </cell>
          <cell r="AP52">
            <v>0</v>
          </cell>
          <cell r="AQ52">
            <v>1688.6238319999998</v>
          </cell>
          <cell r="AR52">
            <v>-1296023.638</v>
          </cell>
          <cell r="AS52">
            <v>-46750.965170000018</v>
          </cell>
          <cell r="AT52">
            <v>75.599999999999994</v>
          </cell>
          <cell r="AU52">
            <v>-6986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61229730.857222155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</row>
        <row r="53">
          <cell r="F53">
            <v>0</v>
          </cell>
          <cell r="G53">
            <v>0</v>
          </cell>
          <cell r="H53">
            <v>-358965.80381977203</v>
          </cell>
          <cell r="I53">
            <v>0</v>
          </cell>
          <cell r="J53">
            <v>-729897.65361830522</v>
          </cell>
          <cell r="K53">
            <v>372882.42</v>
          </cell>
          <cell r="L53">
            <v>-184437.67499999999</v>
          </cell>
          <cell r="M53">
            <v>-582875.91</v>
          </cell>
          <cell r="N53">
            <v>0</v>
          </cell>
          <cell r="O53">
            <v>-1601.9099999999999</v>
          </cell>
          <cell r="P53">
            <v>0</v>
          </cell>
          <cell r="Q53">
            <v>-663636.00395347946</v>
          </cell>
          <cell r="R53">
            <v>-60955.983046364992</v>
          </cell>
          <cell r="S53">
            <v>-10923610.88918221</v>
          </cell>
          <cell r="T53">
            <v>-91428.470096383317</v>
          </cell>
          <cell r="U53">
            <v>0</v>
          </cell>
          <cell r="V53">
            <v>-717733.16384360637</v>
          </cell>
          <cell r="W53">
            <v>0</v>
          </cell>
          <cell r="X53">
            <v>0</v>
          </cell>
          <cell r="Y53">
            <v>0</v>
          </cell>
          <cell r="Z53">
            <v>-1315030.0338839684</v>
          </cell>
          <cell r="AA53">
            <v>-2659870.4770391546</v>
          </cell>
          <cell r="AB53">
            <v>-544285.19767328002</v>
          </cell>
          <cell r="AC53">
            <v>-16135.361203500002</v>
          </cell>
          <cell r="AD53">
            <v>1798400.3342218527</v>
          </cell>
          <cell r="AE53">
            <v>0</v>
          </cell>
          <cell r="AF53">
            <v>-117274.33012271997</v>
          </cell>
          <cell r="AG53">
            <v>-140927</v>
          </cell>
          <cell r="AH53">
            <v>0</v>
          </cell>
          <cell r="AI53">
            <v>8369941.1536499988</v>
          </cell>
          <cell r="AJ53">
            <v>0</v>
          </cell>
          <cell r="AK53">
            <v>1064604.0008858142</v>
          </cell>
          <cell r="AL53">
            <v>16286.194301449212</v>
          </cell>
          <cell r="AM53">
            <v>280509.91123122664</v>
          </cell>
          <cell r="AN53">
            <v>-47281.528771498619</v>
          </cell>
          <cell r="AO53">
            <v>0</v>
          </cell>
          <cell r="AP53">
            <v>0</v>
          </cell>
          <cell r="AQ53">
            <v>361.36048000000005</v>
          </cell>
          <cell r="AR53">
            <v>-366223.32</v>
          </cell>
          <cell r="AS53">
            <v>-13210.633800000005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-7632395.9702838985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</row>
        <row r="54">
          <cell r="F54">
            <v>0</v>
          </cell>
          <cell r="G54">
            <v>-24514600.317255713</v>
          </cell>
          <cell r="H54">
            <v>-164566.0983653556</v>
          </cell>
          <cell r="I54">
            <v>0</v>
          </cell>
          <cell r="J54">
            <v>-1891797.3325304529</v>
          </cell>
          <cell r="K54">
            <v>1485648.997</v>
          </cell>
          <cell r="L54">
            <v>363579.85299999994</v>
          </cell>
          <cell r="M54">
            <v>589142.82699999982</v>
          </cell>
          <cell r="N54">
            <v>-35982.449999999997</v>
          </cell>
          <cell r="O54">
            <v>0</v>
          </cell>
          <cell r="P54">
            <v>-3112.7364999999968</v>
          </cell>
          <cell r="Q54">
            <v>-43718857.144266136</v>
          </cell>
          <cell r="R54">
            <v>-131583.14185230655</v>
          </cell>
          <cell r="S54">
            <v>-58121129.795847245</v>
          </cell>
          <cell r="T54">
            <v>-2169873.2572773132</v>
          </cell>
          <cell r="U54">
            <v>-2124856.6898898045</v>
          </cell>
          <cell r="V54">
            <v>-6291249.7908649994</v>
          </cell>
          <cell r="W54">
            <v>-174948.33628741364</v>
          </cell>
          <cell r="X54">
            <v>1407.0000000000011</v>
          </cell>
          <cell r="Y54">
            <v>0</v>
          </cell>
          <cell r="Z54">
            <v>-5673387.1524619944</v>
          </cell>
          <cell r="AA54">
            <v>-8101980.4748074161</v>
          </cell>
          <cell r="AB54">
            <v>-1536319.9055432989</v>
          </cell>
          <cell r="AC54">
            <v>4269.3216400872925</v>
          </cell>
          <cell r="AD54">
            <v>-20419965.65160181</v>
          </cell>
          <cell r="AE54">
            <v>-2736438.8795831399</v>
          </cell>
          <cell r="AF54">
            <v>-470635.00267795206</v>
          </cell>
          <cell r="AG54">
            <v>-56355.23135608335</v>
          </cell>
          <cell r="AH54">
            <v>0</v>
          </cell>
          <cell r="AI54">
            <v>4788821.7381641436</v>
          </cell>
          <cell r="AJ54">
            <v>0</v>
          </cell>
          <cell r="AK54">
            <v>-12998164.628883362</v>
          </cell>
          <cell r="AL54">
            <v>-530891.61224763491</v>
          </cell>
          <cell r="AM54">
            <v>-3982046.8634208171</v>
          </cell>
          <cell r="AN54">
            <v>-1010008.9819021444</v>
          </cell>
          <cell r="AO54">
            <v>0</v>
          </cell>
          <cell r="AP54">
            <v>0</v>
          </cell>
          <cell r="AQ54">
            <v>126.4761680000001</v>
          </cell>
          <cell r="AR54">
            <v>-128178.16199999989</v>
          </cell>
          <cell r="AS54">
            <v>-484328.88483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-190238262.30928016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</row>
        <row r="55">
          <cell r="F55">
            <v>0</v>
          </cell>
          <cell r="G55">
            <v>0</v>
          </cell>
          <cell r="H55">
            <v>84582.513233319012</v>
          </cell>
          <cell r="I55">
            <v>0</v>
          </cell>
          <cell r="J55">
            <v>57347.431171890225</v>
          </cell>
          <cell r="K55">
            <v>-372882.42</v>
          </cell>
          <cell r="L55">
            <v>102738.41999999998</v>
          </cell>
          <cell r="M55">
            <v>166476.78</v>
          </cell>
          <cell r="N55">
            <v>0</v>
          </cell>
          <cell r="O55">
            <v>0</v>
          </cell>
          <cell r="P55">
            <v>0</v>
          </cell>
          <cell r="Q55">
            <v>-622210.94193322095</v>
          </cell>
          <cell r="R55">
            <v>7172.238402413087</v>
          </cell>
          <cell r="S55">
            <v>-1435475.8982656905</v>
          </cell>
          <cell r="T55">
            <v>-114029.60736276598</v>
          </cell>
          <cell r="U55">
            <v>0</v>
          </cell>
          <cell r="V55">
            <v>-436841.46779394266</v>
          </cell>
          <cell r="W55">
            <v>0</v>
          </cell>
          <cell r="X55">
            <v>0</v>
          </cell>
          <cell r="Y55">
            <v>0</v>
          </cell>
          <cell r="Z55">
            <v>-51138.045301329097</v>
          </cell>
          <cell r="AA55">
            <v>-1074301.3416149735</v>
          </cell>
          <cell r="AB55">
            <v>-138625.846539249</v>
          </cell>
          <cell r="AC55">
            <v>1159.3337263273286</v>
          </cell>
          <cell r="AD55">
            <v>-4062695.9701146311</v>
          </cell>
          <cell r="AE55">
            <v>0</v>
          </cell>
          <cell r="AF55">
            <v>-52104.373877280028</v>
          </cell>
          <cell r="AG55">
            <v>0</v>
          </cell>
          <cell r="AH55">
            <v>0</v>
          </cell>
          <cell r="AI55">
            <v>-8369941.1536499988</v>
          </cell>
          <cell r="AJ55">
            <v>0</v>
          </cell>
          <cell r="AK55">
            <v>-2546903.4549174472</v>
          </cell>
          <cell r="AL55">
            <v>-100429.91270498856</v>
          </cell>
          <cell r="AM55">
            <v>-278916.71223122667</v>
          </cell>
          <cell r="AN55">
            <v>-10994.595473972086</v>
          </cell>
          <cell r="AO55">
            <v>0</v>
          </cell>
          <cell r="AP55">
            <v>0</v>
          </cell>
          <cell r="AQ55">
            <v>-361.36048000000005</v>
          </cell>
          <cell r="AR55">
            <v>366223.32</v>
          </cell>
          <cell r="AS55">
            <v>13210.633800000005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-18868942.431926765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</row>
        <row r="56">
          <cell r="F56">
            <v>0</v>
          </cell>
          <cell r="G56">
            <v>22373644.028855056</v>
          </cell>
          <cell r="H56">
            <v>915424.14014807972</v>
          </cell>
          <cell r="I56">
            <v>0</v>
          </cell>
          <cell r="J56">
            <v>819942.75462657143</v>
          </cell>
          <cell r="K56">
            <v>-1319589.453</v>
          </cell>
          <cell r="L56">
            <v>652704.43874999997</v>
          </cell>
          <cell r="M56">
            <v>2062733.0814999999</v>
          </cell>
          <cell r="N56">
            <v>-15593.724999999999</v>
          </cell>
          <cell r="O56">
            <v>5668.9814999999999</v>
          </cell>
          <cell r="P56">
            <v>-25756.286499999998</v>
          </cell>
          <cell r="Q56">
            <v>-37078734.160199702</v>
          </cell>
          <cell r="R56">
            <v>146785.72048863067</v>
          </cell>
          <cell r="S56">
            <v>-8253534.3216829309</v>
          </cell>
          <cell r="T56">
            <v>-1054964.0088109863</v>
          </cell>
          <cell r="U56">
            <v>113977.99213993034</v>
          </cell>
          <cell r="V56">
            <v>-587188.40659293043</v>
          </cell>
          <cell r="W56">
            <v>-242592.15006012048</v>
          </cell>
          <cell r="X56">
            <v>12962.25</v>
          </cell>
          <cell r="Y56">
            <v>-360.84999999999997</v>
          </cell>
          <cell r="Z56">
            <v>4127267.9262976637</v>
          </cell>
          <cell r="AA56">
            <v>4253996.4240726996</v>
          </cell>
          <cell r="AB56">
            <v>304579.7173885032</v>
          </cell>
          <cell r="AC56">
            <v>94209.208252827637</v>
          </cell>
          <cell r="AD56">
            <v>-8550518.160371216</v>
          </cell>
          <cell r="AE56">
            <v>-2294859.3915494168</v>
          </cell>
          <cell r="AF56">
            <v>705135.50092204788</v>
          </cell>
          <cell r="AG56">
            <v>-178492.97645794536</v>
          </cell>
          <cell r="AH56">
            <v>0</v>
          </cell>
          <cell r="AI56">
            <v>-29620081.787805825</v>
          </cell>
          <cell r="AJ56">
            <v>0</v>
          </cell>
          <cell r="AK56">
            <v>-7436029.4661767576</v>
          </cell>
          <cell r="AL56">
            <v>-86427.248289755546</v>
          </cell>
          <cell r="AM56">
            <v>-2998783.244370447</v>
          </cell>
          <cell r="AN56">
            <v>-686618.70655068313</v>
          </cell>
          <cell r="AO56">
            <v>0</v>
          </cell>
          <cell r="AP56">
            <v>0</v>
          </cell>
          <cell r="AQ56">
            <v>-1688.6238319999998</v>
          </cell>
          <cell r="AR56">
            <v>1296023.638</v>
          </cell>
          <cell r="AS56">
            <v>46750.965170000018</v>
          </cell>
          <cell r="AT56">
            <v>-75.599999999999994</v>
          </cell>
          <cell r="AU56">
            <v>6986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-62493095.79913871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</row>
        <row r="57">
          <cell r="F57">
            <v>0</v>
          </cell>
          <cell r="G57">
            <v>0</v>
          </cell>
          <cell r="H57">
            <v>358965.80381977203</v>
          </cell>
          <cell r="I57">
            <v>0</v>
          </cell>
          <cell r="J57">
            <v>729897.65361830522</v>
          </cell>
          <cell r="K57">
            <v>-372882.42</v>
          </cell>
          <cell r="L57">
            <v>184437.67499999999</v>
          </cell>
          <cell r="M57">
            <v>582875.91</v>
          </cell>
          <cell r="N57">
            <v>0</v>
          </cell>
          <cell r="O57">
            <v>1601.9099999999999</v>
          </cell>
          <cell r="P57">
            <v>0</v>
          </cell>
          <cell r="Q57">
            <v>679648.37623076933</v>
          </cell>
          <cell r="R57">
            <v>60931.200862397032</v>
          </cell>
          <cell r="S57">
            <v>10946717.163226904</v>
          </cell>
          <cell r="T57">
            <v>93734.589084558262</v>
          </cell>
          <cell r="U57">
            <v>0</v>
          </cell>
          <cell r="V57">
            <v>726368.15685686655</v>
          </cell>
          <cell r="W57">
            <v>0</v>
          </cell>
          <cell r="X57">
            <v>0</v>
          </cell>
          <cell r="Y57">
            <v>0</v>
          </cell>
          <cell r="Z57">
            <v>1282155.4515471782</v>
          </cell>
          <cell r="AA57">
            <v>2769715.3095251885</v>
          </cell>
          <cell r="AB57">
            <v>538565.36132077663</v>
          </cell>
          <cell r="AC57">
            <v>14488.341277042573</v>
          </cell>
          <cell r="AD57">
            <v>-1766405.1551718353</v>
          </cell>
          <cell r="AE57">
            <v>0</v>
          </cell>
          <cell r="AF57">
            <v>117274.33012271997</v>
          </cell>
          <cell r="AG57">
            <v>153103.0717272961</v>
          </cell>
          <cell r="AH57">
            <v>0</v>
          </cell>
          <cell r="AI57">
            <v>-8369941.1536499988</v>
          </cell>
          <cell r="AJ57">
            <v>0</v>
          </cell>
          <cell r="AK57">
            <v>-1020702.5017964803</v>
          </cell>
          <cell r="AL57">
            <v>-16602.886544456771</v>
          </cell>
          <cell r="AM57">
            <v>-286881.43495189748</v>
          </cell>
          <cell r="AN57">
            <v>45614.744942867488</v>
          </cell>
          <cell r="AO57">
            <v>0</v>
          </cell>
          <cell r="AP57">
            <v>0</v>
          </cell>
          <cell r="AQ57">
            <v>-361.36048000000005</v>
          </cell>
          <cell r="AR57">
            <v>366223.32</v>
          </cell>
          <cell r="AS57">
            <v>13210.633800000005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7831752.0903679729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</row>
        <row r="58">
          <cell r="F58">
            <v>0</v>
          </cell>
          <cell r="G58">
            <v>880809.9987901675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873567.1498789707</v>
          </cell>
          <cell r="R58">
            <v>59.70128074832953</v>
          </cell>
          <cell r="S58">
            <v>17421.517613951568</v>
          </cell>
          <cell r="T58">
            <v>25954.906895313459</v>
          </cell>
          <cell r="U58">
            <v>3041.3598616911286</v>
          </cell>
          <cell r="V58">
            <v>6980.4378682262022</v>
          </cell>
          <cell r="W58">
            <v>-4087.6449151294973</v>
          </cell>
          <cell r="X58">
            <v>0</v>
          </cell>
          <cell r="Y58">
            <v>0</v>
          </cell>
          <cell r="Z58">
            <v>105823.52483494722</v>
          </cell>
          <cell r="AA58">
            <v>-168710.30859794689</v>
          </cell>
          <cell r="AB58">
            <v>3234.7905470220858</v>
          </cell>
          <cell r="AC58">
            <v>10709.607144197375</v>
          </cell>
          <cell r="AD58">
            <v>-154876.90279350907</v>
          </cell>
          <cell r="AE58">
            <v>-74087.953426086242</v>
          </cell>
          <cell r="AF58">
            <v>0</v>
          </cell>
          <cell r="AG58">
            <v>14195.295101862017</v>
          </cell>
          <cell r="AH58">
            <v>0</v>
          </cell>
          <cell r="AI58">
            <v>0</v>
          </cell>
          <cell r="AJ58">
            <v>0</v>
          </cell>
          <cell r="AK58">
            <v>-319831.52805351984</v>
          </cell>
          <cell r="AL58">
            <v>1648.5590649893563</v>
          </cell>
          <cell r="AM58">
            <v>66601.795190616685</v>
          </cell>
          <cell r="AN58">
            <v>-25089.364369958093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1263364.9419165535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-16012.372277289896</v>
          </cell>
          <cell r="R59">
            <v>24.782183967960158</v>
          </cell>
          <cell r="S59">
            <v>-23106.274044695219</v>
          </cell>
          <cell r="T59">
            <v>-2306.1189881749447</v>
          </cell>
          <cell r="U59">
            <v>0</v>
          </cell>
          <cell r="V59">
            <v>-8634.9930132601949</v>
          </cell>
          <cell r="W59">
            <v>0</v>
          </cell>
          <cell r="X59">
            <v>0</v>
          </cell>
          <cell r="Y59">
            <v>0</v>
          </cell>
          <cell r="Z59">
            <v>32874.582336790168</v>
          </cell>
          <cell r="AA59">
            <v>-109844.83248603382</v>
          </cell>
          <cell r="AB59">
            <v>5719.836352503432</v>
          </cell>
          <cell r="AC59">
            <v>1647.0199264574294</v>
          </cell>
          <cell r="AD59">
            <v>-31995.179050017301</v>
          </cell>
          <cell r="AE59">
            <v>0</v>
          </cell>
          <cell r="AF59">
            <v>0</v>
          </cell>
          <cell r="AG59">
            <v>-12176.071727296092</v>
          </cell>
          <cell r="AH59">
            <v>0</v>
          </cell>
          <cell r="AI59">
            <v>0</v>
          </cell>
          <cell r="AJ59">
            <v>0</v>
          </cell>
          <cell r="AK59">
            <v>-43901.499089333884</v>
          </cell>
          <cell r="AL59">
            <v>316.69224300756042</v>
          </cell>
          <cell r="AM59">
            <v>6371.523720670818</v>
          </cell>
          <cell r="AN59">
            <v>1666.7838286311353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-199356.12008407284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</row>
        <row r="60">
          <cell r="F60">
            <v>0</v>
          </cell>
          <cell r="G60">
            <v>24514600.317255713</v>
          </cell>
          <cell r="H60">
            <v>164566.0983653556</v>
          </cell>
          <cell r="I60">
            <v>0</v>
          </cell>
          <cell r="J60">
            <v>1891797.3325304529</v>
          </cell>
          <cell r="K60">
            <v>-1485648.997</v>
          </cell>
          <cell r="L60">
            <v>-363579.85299999994</v>
          </cell>
          <cell r="M60">
            <v>-589142.82699999982</v>
          </cell>
          <cell r="N60">
            <v>35982.449999999997</v>
          </cell>
          <cell r="O60">
            <v>0</v>
          </cell>
          <cell r="P60">
            <v>3112.7364999999968</v>
          </cell>
          <cell r="Q60">
            <v>43718857.144266136</v>
          </cell>
          <cell r="R60">
            <v>131583.14185230655</v>
          </cell>
          <cell r="S60">
            <v>58121129.795847245</v>
          </cell>
          <cell r="T60">
            <v>2169873.2572773132</v>
          </cell>
          <cell r="U60">
            <v>2124856.6898898045</v>
          </cell>
          <cell r="V60">
            <v>6291249.7908649994</v>
          </cell>
          <cell r="W60">
            <v>174948.33628741364</v>
          </cell>
          <cell r="X60">
            <v>-1407.0000000000011</v>
          </cell>
          <cell r="Y60">
            <v>0</v>
          </cell>
          <cell r="Z60">
            <v>5673387.1524619944</v>
          </cell>
          <cell r="AA60">
            <v>8101980.4748074161</v>
          </cell>
          <cell r="AB60">
            <v>1536319.9055432989</v>
          </cell>
          <cell r="AC60">
            <v>-4269.3216400872925</v>
          </cell>
          <cell r="AD60">
            <v>20419965.65160181</v>
          </cell>
          <cell r="AE60">
            <v>2736438.8795831399</v>
          </cell>
          <cell r="AF60">
            <v>470635.00267795206</v>
          </cell>
          <cell r="AG60">
            <v>56355.23135608335</v>
          </cell>
          <cell r="AH60">
            <v>0</v>
          </cell>
          <cell r="AI60">
            <v>-4788821.7381641436</v>
          </cell>
          <cell r="AJ60">
            <v>0</v>
          </cell>
          <cell r="AK60">
            <v>12998164.628883362</v>
          </cell>
          <cell r="AL60">
            <v>530891.61224763491</v>
          </cell>
          <cell r="AM60">
            <v>3982046.8634208171</v>
          </cell>
          <cell r="AN60">
            <v>1010008.9819021444</v>
          </cell>
          <cell r="AO60">
            <v>0</v>
          </cell>
          <cell r="AP60">
            <v>0</v>
          </cell>
          <cell r="AQ60">
            <v>-126.4761680000001</v>
          </cell>
          <cell r="AR60">
            <v>128178.16199999989</v>
          </cell>
          <cell r="AS60">
            <v>484328.88483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190238262.30928016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</row>
        <row r="61">
          <cell r="F61">
            <v>0</v>
          </cell>
          <cell r="G61">
            <v>0</v>
          </cell>
          <cell r="H61">
            <v>-84582.513233319012</v>
          </cell>
          <cell r="I61">
            <v>0</v>
          </cell>
          <cell r="J61">
            <v>-57347.431171890225</v>
          </cell>
          <cell r="K61">
            <v>372882.42</v>
          </cell>
          <cell r="L61">
            <v>-102738.41999999998</v>
          </cell>
          <cell r="M61">
            <v>-166476.78</v>
          </cell>
          <cell r="N61">
            <v>0</v>
          </cell>
          <cell r="O61">
            <v>0</v>
          </cell>
          <cell r="P61">
            <v>0</v>
          </cell>
          <cell r="Q61">
            <v>622210.94193322095</v>
          </cell>
          <cell r="R61">
            <v>-7172.238402413087</v>
          </cell>
          <cell r="S61">
            <v>1435475.8982656905</v>
          </cell>
          <cell r="T61">
            <v>114029.60736276598</v>
          </cell>
          <cell r="U61">
            <v>0</v>
          </cell>
          <cell r="V61">
            <v>436841.46779394266</v>
          </cell>
          <cell r="W61">
            <v>0</v>
          </cell>
          <cell r="X61">
            <v>0</v>
          </cell>
          <cell r="Y61">
            <v>0</v>
          </cell>
          <cell r="Z61">
            <v>51138.045301329097</v>
          </cell>
          <cell r="AA61">
            <v>1074301.3416149735</v>
          </cell>
          <cell r="AB61">
            <v>138625.846539249</v>
          </cell>
          <cell r="AC61">
            <v>-1159.3337263273286</v>
          </cell>
          <cell r="AD61">
            <v>4062695.9701146311</v>
          </cell>
          <cell r="AE61">
            <v>0</v>
          </cell>
          <cell r="AF61">
            <v>52104.373877280028</v>
          </cell>
          <cell r="AG61">
            <v>0</v>
          </cell>
          <cell r="AH61">
            <v>0</v>
          </cell>
          <cell r="AI61">
            <v>8369941.1536499988</v>
          </cell>
          <cell r="AJ61">
            <v>0</v>
          </cell>
          <cell r="AK61">
            <v>2546903.4549174472</v>
          </cell>
          <cell r="AL61">
            <v>100429.91270498856</v>
          </cell>
          <cell r="AM61">
            <v>278916.71223122667</v>
          </cell>
          <cell r="AN61">
            <v>10994.595473972086</v>
          </cell>
          <cell r="AO61">
            <v>0</v>
          </cell>
          <cell r="AP61">
            <v>0</v>
          </cell>
          <cell r="AQ61">
            <v>361.36048000000005</v>
          </cell>
          <cell r="AR61">
            <v>-366223.32</v>
          </cell>
          <cell r="AS61">
            <v>-13210.633800000005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18868942.431926765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</row>
        <row r="62">
          <cell r="F62">
            <v>0</v>
          </cell>
          <cell r="G62">
            <v>47769054</v>
          </cell>
          <cell r="H62">
            <v>1354374</v>
          </cell>
          <cell r="I62">
            <v>0</v>
          </cell>
          <cell r="J62">
            <v>3384290</v>
          </cell>
          <cell r="K62">
            <v>-2805238</v>
          </cell>
          <cell r="L62">
            <v>370824</v>
          </cell>
          <cell r="M62">
            <v>1889989</v>
          </cell>
          <cell r="N62">
            <v>20389</v>
          </cell>
          <cell r="O62">
            <v>7271</v>
          </cell>
          <cell r="P62">
            <v>-22644</v>
          </cell>
          <cell r="Q62">
            <v>8799537</v>
          </cell>
          <cell r="R62">
            <v>332212</v>
          </cell>
          <cell r="S62">
            <v>62244104</v>
          </cell>
          <cell r="T62">
            <v>1346322</v>
          </cell>
          <cell r="U62">
            <v>2241876</v>
          </cell>
          <cell r="V62">
            <v>6865616</v>
          </cell>
          <cell r="W62">
            <v>-71731</v>
          </cell>
          <cell r="X62">
            <v>11555</v>
          </cell>
          <cell r="Y62">
            <v>-361</v>
          </cell>
          <cell r="Z62">
            <v>11272647</v>
          </cell>
          <cell r="AA62">
            <v>15921438</v>
          </cell>
          <cell r="AB62">
            <v>2527045</v>
          </cell>
          <cell r="AC62">
            <v>115626</v>
          </cell>
          <cell r="AD62">
            <v>13978866</v>
          </cell>
          <cell r="AE62">
            <v>367492</v>
          </cell>
          <cell r="AF62">
            <v>1345149</v>
          </cell>
          <cell r="AG62">
            <v>32985</v>
          </cell>
          <cell r="AH62">
            <v>0</v>
          </cell>
          <cell r="AI62">
            <v>-34408904</v>
          </cell>
          <cell r="AJ62">
            <v>0</v>
          </cell>
          <cell r="AK62">
            <v>6724603</v>
          </cell>
          <cell r="AL62">
            <v>530257</v>
          </cell>
          <cell r="AM62">
            <v>1048272</v>
          </cell>
          <cell r="AN62">
            <v>356577</v>
          </cell>
          <cell r="AO62">
            <v>0</v>
          </cell>
          <cell r="AP62">
            <v>0</v>
          </cell>
          <cell r="AQ62">
            <v>-1815</v>
          </cell>
          <cell r="AR62">
            <v>1424202</v>
          </cell>
          <cell r="AS62">
            <v>531080</v>
          </cell>
          <cell r="AT62">
            <v>-76</v>
          </cell>
          <cell r="AU62">
            <v>6986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155509869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</row>
        <row r="63">
          <cell r="F63">
            <v>0</v>
          </cell>
          <cell r="G63">
            <v>0.35031796513402591</v>
          </cell>
          <cell r="H63">
            <v>0.403216865410986</v>
          </cell>
          <cell r="I63">
            <v>0</v>
          </cell>
          <cell r="J63">
            <v>0.41646515861114375</v>
          </cell>
          <cell r="K63">
            <v>0.34999994385504019</v>
          </cell>
          <cell r="L63">
            <v>0.4108443479320622</v>
          </cell>
          <cell r="M63">
            <v>0.40997823415056139</v>
          </cell>
          <cell r="N63">
            <v>0.38084653317393902</v>
          </cell>
          <cell r="O63">
            <v>0.40850609584808134</v>
          </cell>
          <cell r="P63">
            <v>0.34366368189406588</v>
          </cell>
          <cell r="Q63">
            <v>0.39791927014148359</v>
          </cell>
          <cell r="R63">
            <v>0.3881139999883173</v>
          </cell>
          <cell r="S63">
            <v>0.4071748958478788</v>
          </cell>
          <cell r="T63">
            <v>0.48930225323222054</v>
          </cell>
          <cell r="U63">
            <v>0.36144133105471898</v>
          </cell>
          <cell r="V63">
            <v>0.40780109027852601</v>
          </cell>
          <cell r="W63">
            <v>0.35470886388923228</v>
          </cell>
          <cell r="X63">
            <v>0.34999242768438588</v>
          </cell>
          <cell r="Y63">
            <v>0.35014548981571292</v>
          </cell>
          <cell r="Z63">
            <v>0.37236641526989928</v>
          </cell>
          <cell r="AA63">
            <v>0.40640610730326987</v>
          </cell>
          <cell r="AB63">
            <v>0.44722890261326043</v>
          </cell>
          <cell r="AC63">
            <v>0.3773312752299865</v>
          </cell>
          <cell r="AD63">
            <v>0.38789168097977289</v>
          </cell>
          <cell r="AE63">
            <v>0.73702556080342552</v>
          </cell>
          <cell r="AF63">
            <v>0.3813384830532956</v>
          </cell>
          <cell r="AG63">
            <v>-0.19266489100721945</v>
          </cell>
          <cell r="AH63">
            <v>0</v>
          </cell>
          <cell r="AI63">
            <v>0.34916914022980894</v>
          </cell>
          <cell r="AJ63">
            <v>0</v>
          </cell>
          <cell r="AK63">
            <v>0.40120363423055516</v>
          </cell>
          <cell r="AL63">
            <v>0.3949849308068536</v>
          </cell>
          <cell r="AM63">
            <v>0.35039705261511217</v>
          </cell>
          <cell r="AN63">
            <v>0.38843572096184892</v>
          </cell>
          <cell r="AO63">
            <v>0</v>
          </cell>
          <cell r="AP63">
            <v>0</v>
          </cell>
          <cell r="AQ63">
            <v>0.34998071731585034</v>
          </cell>
          <cell r="AR63">
            <v>0.35000004915033811</v>
          </cell>
          <cell r="AS63">
            <v>0.35000009885519101</v>
          </cell>
          <cell r="AT63">
            <v>0.35185185185185186</v>
          </cell>
          <cell r="AU63">
            <v>0.35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0.3975474321894803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</row>
        <row r="65">
          <cell r="F65">
            <v>0</v>
          </cell>
          <cell r="G65">
            <v>24514600.317255713</v>
          </cell>
          <cell r="H65">
            <v>79983.585132036591</v>
          </cell>
          <cell r="I65">
            <v>0</v>
          </cell>
          <cell r="J65">
            <v>1834449.9013585628</v>
          </cell>
          <cell r="K65">
            <v>-1112766.577</v>
          </cell>
          <cell r="L65">
            <v>-466318.27299999993</v>
          </cell>
          <cell r="M65">
            <v>-755619.60699999984</v>
          </cell>
          <cell r="N65">
            <v>35982.449999999997</v>
          </cell>
          <cell r="O65">
            <v>0</v>
          </cell>
          <cell r="P65">
            <v>3112.7364999999968</v>
          </cell>
          <cell r="Q65">
            <v>44341068.086199358</v>
          </cell>
          <cell r="R65">
            <v>124410.90344989346</v>
          </cell>
          <cell r="S65">
            <v>59556605.694112934</v>
          </cell>
          <cell r="T65">
            <v>2283902.864640079</v>
          </cell>
          <cell r="U65">
            <v>2124856.6898898045</v>
          </cell>
          <cell r="V65">
            <v>6728091.2586589418</v>
          </cell>
          <cell r="W65">
            <v>174948.33628741364</v>
          </cell>
          <cell r="X65">
            <v>-1407.0000000000011</v>
          </cell>
          <cell r="Y65">
            <v>0</v>
          </cell>
          <cell r="Z65">
            <v>5724525.1977633238</v>
          </cell>
          <cell r="AA65">
            <v>9176281.8164223898</v>
          </cell>
          <cell r="AB65">
            <v>1674945.7520825479</v>
          </cell>
          <cell r="AC65">
            <v>-5428.6553664146213</v>
          </cell>
          <cell r="AD65">
            <v>24482661.62171644</v>
          </cell>
          <cell r="AE65">
            <v>2736438.8795831399</v>
          </cell>
          <cell r="AF65">
            <v>522739.3765552321</v>
          </cell>
          <cell r="AG65">
            <v>56355.23135608335</v>
          </cell>
          <cell r="AH65">
            <v>0</v>
          </cell>
          <cell r="AI65">
            <v>3581119.4154858552</v>
          </cell>
          <cell r="AJ65">
            <v>0</v>
          </cell>
          <cell r="AK65">
            <v>15545068.083800809</v>
          </cell>
          <cell r="AL65">
            <v>631321.52495262353</v>
          </cell>
          <cell r="AM65">
            <v>4260963.5756520433</v>
          </cell>
          <cell r="AN65">
            <v>1021003.5773761164</v>
          </cell>
          <cell r="AO65">
            <v>0</v>
          </cell>
          <cell r="AP65">
            <v>0</v>
          </cell>
          <cell r="AQ65">
            <v>234.88431199999997</v>
          </cell>
          <cell r="AR65">
            <v>-238045.15800000011</v>
          </cell>
          <cell r="AS65">
            <v>471118.25102999998</v>
          </cell>
          <cell r="AT65">
            <v>0</v>
          </cell>
          <cell r="AU65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3.5652192309498787E-10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1.3642420526593924E-12</v>
          </cell>
          <cell r="Q67">
            <v>-1.1641532182693481E-9</v>
          </cell>
          <cell r="R67">
            <v>-2.8194335754960775E-11</v>
          </cell>
          <cell r="S67">
            <v>0</v>
          </cell>
          <cell r="T67">
            <v>-3.0559021979570389E-10</v>
          </cell>
          <cell r="U67">
            <v>0</v>
          </cell>
          <cell r="V67">
            <v>0</v>
          </cell>
          <cell r="W67">
            <v>0</v>
          </cell>
          <cell r="X67">
            <v>6.8212102632969618E-13</v>
          </cell>
          <cell r="Y67">
            <v>0</v>
          </cell>
          <cell r="Z67">
            <v>-1.178705133497715E-9</v>
          </cell>
          <cell r="AA67">
            <v>0</v>
          </cell>
          <cell r="AB67">
            <v>0</v>
          </cell>
          <cell r="AC67">
            <v>2.0463630789890885E-12</v>
          </cell>
          <cell r="AD67">
            <v>0</v>
          </cell>
          <cell r="AE67">
            <v>0</v>
          </cell>
          <cell r="AF67">
            <v>1.0186340659856796E-10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-5.2386894822120667E-10</v>
          </cell>
          <cell r="AN67">
            <v>-6.3664629124104977E-11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-5.2750692702829838E-11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3.7252902984619141E-8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</row>
        <row r="68">
          <cell r="F68">
            <v>0</v>
          </cell>
          <cell r="G68">
            <v>0.34490093588829041</v>
          </cell>
          <cell r="H68">
            <v>-0.47090011183172464</v>
          </cell>
          <cell r="I68">
            <v>0</v>
          </cell>
          <cell r="J68">
            <v>0.30960343917831779</v>
          </cell>
          <cell r="K68">
            <v>-0.44999999972060323</v>
          </cell>
          <cell r="L68">
            <v>-0.15925000002607703</v>
          </cell>
          <cell r="M68">
            <v>0.38449999992735684</v>
          </cell>
          <cell r="N68">
            <v>-0.27500000000145519</v>
          </cell>
          <cell r="O68">
            <v>-0.10850000000027649</v>
          </cell>
          <cell r="P68">
            <v>0.44999999999708962</v>
          </cell>
          <cell r="Q68">
            <v>7.9832106828689575E-2</v>
          </cell>
          <cell r="R68">
            <v>0.30826563743175939</v>
          </cell>
          <cell r="S68">
            <v>-0.22077382355928421</v>
          </cell>
          <cell r="T68">
            <v>0.23282078956253827</v>
          </cell>
          <cell r="U68">
            <v>4.1891425848007202E-2</v>
          </cell>
          <cell r="V68">
            <v>0.45377784594893456</v>
          </cell>
          <cell r="W68">
            <v>-0.45868783633341081</v>
          </cell>
          <cell r="X68">
            <v>0.25</v>
          </cell>
          <cell r="Y68">
            <v>0.15000000000003411</v>
          </cell>
          <cell r="Z68">
            <v>-0.31722009740769863</v>
          </cell>
          <cell r="AA68">
            <v>0.40893629938364029</v>
          </cell>
          <cell r="AB68">
            <v>0.45769135328009725</v>
          </cell>
          <cell r="AC68">
            <v>-0.47876588960934896</v>
          </cell>
          <cell r="AD68">
            <v>0.22432986088097095</v>
          </cell>
          <cell r="AE68">
            <v>-0.46539236343232915</v>
          </cell>
          <cell r="AF68">
            <v>0.20759999984875321</v>
          </cell>
          <cell r="AG68">
            <v>-0.44999999998981366</v>
          </cell>
          <cell r="AH68">
            <v>0</v>
          </cell>
          <cell r="AI68">
            <v>0.4740300327539444</v>
          </cell>
          <cell r="AJ68">
            <v>0</v>
          </cell>
          <cell r="AK68">
            <v>8.8684718124568462E-2</v>
          </cell>
          <cell r="AL68">
            <v>-0.35857359203509986</v>
          </cell>
          <cell r="AM68">
            <v>0.21524098666850477</v>
          </cell>
          <cell r="AN68">
            <v>3.5226973763201386E-2</v>
          </cell>
          <cell r="AO68">
            <v>0</v>
          </cell>
          <cell r="AP68">
            <v>0</v>
          </cell>
          <cell r="AQ68">
            <v>-9.9999999999909051E-2</v>
          </cell>
          <cell r="AR68">
            <v>-0.20000000018626451</v>
          </cell>
          <cell r="AS68">
            <v>-0.15000000002328306</v>
          </cell>
          <cell r="AT68">
            <v>0.40000000000000568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0.85426869988441467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</row>
        <row r="69">
          <cell r="F69">
            <v>0</v>
          </cell>
          <cell r="G69">
            <v>2.5293570571349733E-9</v>
          </cell>
          <cell r="H69">
            <v>-1.4019382166274852E-7</v>
          </cell>
          <cell r="I69">
            <v>0</v>
          </cell>
          <cell r="J69">
            <v>3.8099289778603662E-8</v>
          </cell>
          <cell r="K69">
            <v>5.6144959792447935E-8</v>
          </cell>
          <cell r="L69">
            <v>-1.7643669886213686E-7</v>
          </cell>
          <cell r="M69">
            <v>8.3406110296113667E-8</v>
          </cell>
          <cell r="N69">
            <v>-5.1367304244043233E-6</v>
          </cell>
          <cell r="O69">
            <v>-6.0958480813666505E-6</v>
          </cell>
          <cell r="P69">
            <v>-6.8295644255478294E-6</v>
          </cell>
          <cell r="Q69">
            <v>3.6100460398813539E-9</v>
          </cell>
          <cell r="R69">
            <v>3.6013813348168E-7</v>
          </cell>
          <cell r="S69">
            <v>-1.4442100293443616E-9</v>
          </cell>
          <cell r="T69">
            <v>8.4615520590247684E-8</v>
          </cell>
          <cell r="U69">
            <v>6.753849313145821E-9</v>
          </cell>
          <cell r="V69">
            <v>2.6953313470023943E-8</v>
          </cell>
          <cell r="W69">
            <v>2.2682053966160964E-6</v>
          </cell>
          <cell r="X69">
            <v>7.5723156141016545E-6</v>
          </cell>
          <cell r="Y69">
            <v>-1.4548981571294028E-4</v>
          </cell>
          <cell r="Z69">
            <v>-1.0478648948542002E-8</v>
          </cell>
          <cell r="AA69">
            <v>1.0438391873091035E-8</v>
          </cell>
          <cell r="AB69">
            <v>8.1000853413559781E-8</v>
          </cell>
          <cell r="AC69">
            <v>-1.5623937839048807E-6</v>
          </cell>
          <cell r="AD69">
            <v>6.2248030063827287E-9</v>
          </cell>
          <cell r="AE69">
            <v>-9.3337016227046377E-7</v>
          </cell>
          <cell r="AF69">
            <v>5.8852862416802765E-8</v>
          </cell>
          <cell r="AG69">
            <v>2.6284432605994112E-6</v>
          </cell>
          <cell r="AH69">
            <v>0</v>
          </cell>
          <cell r="AI69">
            <v>-4.8102857252985132E-9</v>
          </cell>
          <cell r="AJ69">
            <v>0</v>
          </cell>
          <cell r="AK69">
            <v>5.2911125481003296E-9</v>
          </cell>
          <cell r="AL69">
            <v>-2.6709909617395056E-7</v>
          </cell>
          <cell r="AM69">
            <v>7.1946791802002252E-8</v>
          </cell>
          <cell r="AN69">
            <v>3.837436218789847E-8</v>
          </cell>
          <cell r="AO69">
            <v>0</v>
          </cell>
          <cell r="AP69">
            <v>0</v>
          </cell>
          <cell r="AQ69">
            <v>1.9282684149635188E-5</v>
          </cell>
          <cell r="AR69">
            <v>-4.9150338132797344E-8</v>
          </cell>
          <cell r="AS69">
            <v>-9.8855191033031531E-8</v>
          </cell>
          <cell r="AT69">
            <v>-1.8518518518518823E-3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2.1838634789439482E-9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</row>
        <row r="73">
          <cell r="F73">
            <v>0</v>
          </cell>
          <cell r="G73">
            <v>708036</v>
          </cell>
          <cell r="H73">
            <v>0</v>
          </cell>
          <cell r="I73">
            <v>0</v>
          </cell>
          <cell r="J73">
            <v>210632.4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673.44</v>
          </cell>
          <cell r="Q73">
            <v>245993.27</v>
          </cell>
          <cell r="R73">
            <v>2474.11</v>
          </cell>
          <cell r="S73">
            <v>1127912.1599999999</v>
          </cell>
          <cell r="T73">
            <v>524514.47</v>
          </cell>
          <cell r="U73">
            <v>166367.82</v>
          </cell>
          <cell r="V73">
            <v>452471.76</v>
          </cell>
          <cell r="W73">
            <v>1764</v>
          </cell>
          <cell r="X73">
            <v>0</v>
          </cell>
          <cell r="Y73">
            <v>0</v>
          </cell>
          <cell r="Z73">
            <v>-130153.92</v>
          </cell>
          <cell r="AA73">
            <v>-9265.92</v>
          </cell>
          <cell r="AB73">
            <v>217210.04</v>
          </cell>
          <cell r="AC73">
            <v>0</v>
          </cell>
          <cell r="AD73">
            <v>90893.88</v>
          </cell>
          <cell r="AE73">
            <v>269735.96000000002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-80703</v>
          </cell>
          <cell r="AL73">
            <v>7233.72</v>
          </cell>
          <cell r="AM73">
            <v>-28215.72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3777574.4699999997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</row>
        <row r="74">
          <cell r="F74">
            <v>0</v>
          </cell>
          <cell r="G74">
            <v>-356136.24</v>
          </cell>
          <cell r="H74">
            <v>0</v>
          </cell>
          <cell r="I74">
            <v>0</v>
          </cell>
          <cell r="J74">
            <v>-15000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-29.76</v>
          </cell>
          <cell r="Q74">
            <v>-84797.04</v>
          </cell>
          <cell r="R74">
            <v>-1620</v>
          </cell>
          <cell r="S74">
            <v>-233592</v>
          </cell>
          <cell r="T74">
            <v>-76368</v>
          </cell>
          <cell r="U74">
            <v>-32580</v>
          </cell>
          <cell r="V74">
            <v>-64047.839999999997</v>
          </cell>
          <cell r="W74">
            <v>-1224</v>
          </cell>
          <cell r="X74">
            <v>0</v>
          </cell>
          <cell r="Y74">
            <v>0</v>
          </cell>
          <cell r="Z74">
            <v>-126758.04</v>
          </cell>
          <cell r="AA74">
            <v>-218748</v>
          </cell>
          <cell r="AB74">
            <v>-37200</v>
          </cell>
          <cell r="AC74">
            <v>0</v>
          </cell>
          <cell r="AD74">
            <v>-130410</v>
          </cell>
          <cell r="AE74">
            <v>-2328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-81786</v>
          </cell>
          <cell r="AL74">
            <v>0</v>
          </cell>
          <cell r="AM74">
            <v>-3720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-1466344.92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-6447.48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8797.5400000000009</v>
          </cell>
          <cell r="R75">
            <v>-17529.07</v>
          </cell>
          <cell r="S75">
            <v>-3176238.2</v>
          </cell>
          <cell r="T75">
            <v>67866.490000000063</v>
          </cell>
          <cell r="U75">
            <v>0</v>
          </cell>
          <cell r="V75">
            <v>-258142.32</v>
          </cell>
          <cell r="W75">
            <v>0</v>
          </cell>
          <cell r="X75">
            <v>0</v>
          </cell>
          <cell r="Y75">
            <v>0</v>
          </cell>
          <cell r="Z75">
            <v>7846.08</v>
          </cell>
          <cell r="AA75">
            <v>216661.92</v>
          </cell>
          <cell r="AB75">
            <v>34557.040000000001</v>
          </cell>
          <cell r="AC75">
            <v>0</v>
          </cell>
          <cell r="AD75">
            <v>25422.12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-15182.04</v>
          </cell>
          <cell r="AL75">
            <v>-166</v>
          </cell>
          <cell r="AM75">
            <v>-4109.28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-3116663.1999999993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-100715.04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-100715.04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8">
          <cell r="A8" t="str">
            <v>0001</v>
          </cell>
          <cell r="B8" t="str">
            <v>JE#  0001  Def Hist - AFUDC - Equity CWIP (AFUDC 2) - a/c 185035</v>
          </cell>
          <cell r="C8" t="str">
            <v>JE  0001  Def Hist - AFUDC - Equity CWIP (AFUDC 2) - a/c 185035</v>
          </cell>
          <cell r="D8" t="str">
            <v>JE# 0001  Def Hist - AFUDC - Equity CWIP (AFUDC 2) - a/c 185035</v>
          </cell>
          <cell r="E8">
            <v>185035</v>
          </cell>
          <cell r="F8" t="str">
            <v>L4</v>
          </cell>
          <cell r="G8" t="str">
            <v>NC</v>
          </cell>
          <cell r="H8" t="str">
            <v>JE#  0001  Def Hist - AFUDC - Equity CWIP (AFUDC 2) - a/c 185035</v>
          </cell>
        </row>
        <row r="9">
          <cell r="A9" t="str">
            <v>0002</v>
          </cell>
          <cell r="B9" t="str">
            <v>JE#  0002  Oth Def Adj - a/c 185040 - Reg Asset Pl Flow-Thru</v>
          </cell>
          <cell r="C9" t="str">
            <v>JE  0002  Oth Def Adj - a/c 185040 - Reg Asset Pl Flow-Thru</v>
          </cell>
          <cell r="D9" t="str">
            <v>JE# 0002  Oth Def Adj - a/c 185040 - Reg Asset Pl Flow-Thru</v>
          </cell>
          <cell r="E9">
            <v>185040</v>
          </cell>
          <cell r="F9" t="str">
            <v>L4</v>
          </cell>
          <cell r="G9" t="str">
            <v>NC</v>
          </cell>
          <cell r="H9" t="str">
            <v>JE#  0002  Oth Def Adj - a/c 185040 - Reg Asset Pl Flow-Thru</v>
          </cell>
        </row>
        <row r="10">
          <cell r="A10" t="str">
            <v>0003</v>
          </cell>
          <cell r="B10" t="str">
            <v>JE#  0003  Oth Def Adj -  a/c 185045 - Reg Asset Other</v>
          </cell>
          <cell r="C10" t="str">
            <v>JE  0003  Oth Def Adj -  a/c 185045 - Reg Asset Other</v>
          </cell>
          <cell r="D10" t="str">
            <v>JE# 0003  Oth Def Adj -  a/c 185045 - Reg Asset Other</v>
          </cell>
          <cell r="E10">
            <v>185045</v>
          </cell>
          <cell r="F10" t="str">
            <v>L4</v>
          </cell>
          <cell r="G10" t="str">
            <v>NC</v>
          </cell>
          <cell r="H10" t="str">
            <v>JE#  0003  Oth Def Adj -  a/c 185045 - Reg Asset Other</v>
          </cell>
        </row>
        <row r="11">
          <cell r="A11" t="str">
            <v>0004</v>
          </cell>
          <cell r="B11" t="str">
            <v>JE#  0004  Oth Def Adj  - a/c 185050 - Reg Asset St Flow-Thru</v>
          </cell>
          <cell r="C11" t="str">
            <v>JE  0004  Oth Def Adj  - a/c 185050 - Reg Asset St Flow-Thru</v>
          </cell>
          <cell r="D11" t="str">
            <v>JE# 0004  Oth Def Adj  - a/c 185050 - Reg Asset St Flow-Thru</v>
          </cell>
          <cell r="E11">
            <v>185050</v>
          </cell>
          <cell r="F11" t="str">
            <v>L4</v>
          </cell>
          <cell r="G11" t="str">
            <v>NC</v>
          </cell>
          <cell r="H11" t="str">
            <v>JE#  0004  Oth Def Adj  - a/c 185050 - Reg Asset St Flow-Thru</v>
          </cell>
        </row>
        <row r="12">
          <cell r="A12" t="str">
            <v>0005</v>
          </cell>
          <cell r="B12" t="str">
            <v>JE#  0005  Oth Def Adj -  a/c 185051 - Reg Asset-St Tax Ch</v>
          </cell>
          <cell r="C12" t="str">
            <v>JE  0005  Oth Def Adj -  a/c 185051 - Reg Asset-St Tax Ch</v>
          </cell>
          <cell r="D12" t="str">
            <v>JE# 0005  Oth Def Adj -  a/c 185051 - Reg Asset-St Tax Ch</v>
          </cell>
          <cell r="E12">
            <v>185051</v>
          </cell>
          <cell r="F12" t="str">
            <v>L4</v>
          </cell>
          <cell r="G12" t="str">
            <v>NC</v>
          </cell>
          <cell r="H12" t="str">
            <v>JE#  0005  Oth Def Adj -  a/c 185051 - Reg Asset-St Tax Ch</v>
          </cell>
        </row>
        <row r="13">
          <cell r="A13" t="str">
            <v>0006</v>
          </cell>
          <cell r="B13" t="str">
            <v>JE#  0006  Oth Def Adj - a/c 255000 - Unamortized ITC</v>
          </cell>
          <cell r="C13" t="str">
            <v>JE  0006  Oth Def Adj - a/c 255000 - Unamortized ITC</v>
          </cell>
          <cell r="D13" t="str">
            <v>JE# 0006  Oth Def Adj - a/c 255000 - Unamortized ITC</v>
          </cell>
          <cell r="E13">
            <v>255000</v>
          </cell>
          <cell r="F13" t="str">
            <v>A2</v>
          </cell>
          <cell r="G13" t="str">
            <v>NC</v>
          </cell>
          <cell r="H13" t="str">
            <v>JE#  0006  Oth Def Adj - a/c 255000 - Unamortized ITC</v>
          </cell>
        </row>
        <row r="14">
          <cell r="A14" t="str">
            <v>0007</v>
          </cell>
          <cell r="B14" t="str">
            <v>JE#  0007  Oth Def Adj - a/c 255105 - SIT Unamortized ITC</v>
          </cell>
          <cell r="C14" t="str">
            <v>JE  0007  Oth Def Adj - a/c 255105 - SIT Unamortized ITC</v>
          </cell>
          <cell r="D14" t="str">
            <v>JE# 0007  Oth Def Adj - a/c 255105 - SIT Unamortized ITC</v>
          </cell>
          <cell r="E14">
            <v>255105</v>
          </cell>
          <cell r="F14" t="str">
            <v>A2</v>
          </cell>
          <cell r="G14" t="str">
            <v>NC</v>
          </cell>
          <cell r="H14" t="str">
            <v>JE#  0007  Oth Def Adj - a/c 255105 - SIT Unamortized ITC</v>
          </cell>
        </row>
        <row r="15">
          <cell r="A15" t="str">
            <v>0008</v>
          </cell>
          <cell r="B15" t="str">
            <v>JE#  0008  Oth Def Adj - a/c 256210 - Reg Liab AFUDC</v>
          </cell>
          <cell r="C15" t="str">
            <v>JE  0008  Oth Def Adj - a/c 256210 - Reg Liab AFUDC</v>
          </cell>
          <cell r="D15" t="str">
            <v>JE# 0008  Oth Def Adj - a/c 256210 - Reg Liab AFUDC</v>
          </cell>
          <cell r="E15">
            <v>256210</v>
          </cell>
          <cell r="F15" t="str">
            <v>L4</v>
          </cell>
          <cell r="G15" t="str">
            <v>NC</v>
          </cell>
          <cell r="H15" t="str">
            <v>JE#  0008  Oth Def Adj - a/c 256210 - Reg Liab AFUDC</v>
          </cell>
        </row>
        <row r="16">
          <cell r="A16" t="str">
            <v>0009</v>
          </cell>
          <cell r="B16" t="str">
            <v>JE#  0009  Oth Def Adj - a/c 256220 - Reg Liab Deficit Def FIT</v>
          </cell>
          <cell r="C16" t="str">
            <v>JE  0009  Oth Def Adj - a/c 256220 - Reg Liab Deficit Def FIT</v>
          </cell>
          <cell r="D16" t="str">
            <v>JE# 0009  Oth Def Adj - a/c 256220 - Reg Liab Deficit Def FIT</v>
          </cell>
          <cell r="E16">
            <v>256220</v>
          </cell>
          <cell r="F16" t="str">
            <v>L4</v>
          </cell>
          <cell r="G16" t="str">
            <v>NC</v>
          </cell>
          <cell r="H16" t="str">
            <v>JE#  0009  Oth Def Adj - a/c 256220 - Reg Liab Deficit Def FIT</v>
          </cell>
        </row>
        <row r="17">
          <cell r="A17" t="str">
            <v>0010</v>
          </cell>
          <cell r="B17" t="str">
            <v>JE#  0010  Oth Def Adj - a/c 256230 - Reg Liab Excess Def SIT</v>
          </cell>
          <cell r="C17" t="str">
            <v>JE  0010  Oth Def Adj - a/c 256230 - Reg Liab Excess Def SIT</v>
          </cell>
          <cell r="D17" t="str">
            <v>JE# 0010  Oth Def Adj - a/c 256230 - Reg Liab Excess Def SIT</v>
          </cell>
          <cell r="E17">
            <v>256230</v>
          </cell>
          <cell r="F17" t="str">
            <v>L4</v>
          </cell>
          <cell r="G17" t="str">
            <v>NC</v>
          </cell>
          <cell r="H17" t="str">
            <v>JE#  0010  Oth Def Adj - a/c 256230 - Reg Liab Excess Def SIT</v>
          </cell>
        </row>
        <row r="18">
          <cell r="A18" t="str">
            <v>0011</v>
          </cell>
          <cell r="B18" t="str">
            <v>JE#  0011  Oth Def Adj - a/c 256240 - Reg Liability-Other</v>
          </cell>
          <cell r="C18" t="str">
            <v>JE  0011  Oth Def Adj - a/c 256240 - Reg Liability-Other</v>
          </cell>
          <cell r="D18" t="str">
            <v>JE# 0011  Oth Def Adj - a/c 256240 - Reg Liability-Other</v>
          </cell>
          <cell r="E18">
            <v>256240</v>
          </cell>
          <cell r="F18" t="str">
            <v>L4</v>
          </cell>
          <cell r="G18" t="str">
            <v>NC</v>
          </cell>
          <cell r="H18" t="str">
            <v>JE#  0011  Oth Def Adj - a/c 256240 - Reg Liability-Other</v>
          </cell>
        </row>
        <row r="19">
          <cell r="A19" t="str">
            <v>0012</v>
          </cell>
          <cell r="B19" t="str">
            <v>JE#  0012  Oth Def Adj - a/c 256310 - Reg Liab ITC Gross-up</v>
          </cell>
          <cell r="C19" t="str">
            <v>JE  0012  Oth Def Adj - a/c 256310 - Reg Liab ITC Gross-up</v>
          </cell>
          <cell r="D19" t="str">
            <v>JE# 0012  Oth Def Adj - a/c 256310 - Reg Liab ITC Gross-up</v>
          </cell>
          <cell r="E19">
            <v>256310</v>
          </cell>
          <cell r="F19" t="str">
            <v>L4</v>
          </cell>
          <cell r="G19" t="str">
            <v>NC</v>
          </cell>
          <cell r="H19" t="str">
            <v>JE#  0012  Oth Def Adj - a/c 256310 - Reg Liab ITC Gross-up</v>
          </cell>
        </row>
        <row r="20">
          <cell r="A20" t="str">
            <v>0013</v>
          </cell>
          <cell r="B20" t="str">
            <v>JE#  0013  Oth Def Adj - a/c 256315 - Reg Liab State ITC Gr-up</v>
          </cell>
          <cell r="C20" t="str">
            <v>JE  0013  Oth Def Adj - a/c 256315 - Reg Liab State ITC Gr-up</v>
          </cell>
          <cell r="D20" t="str">
            <v>JE# 0013  Oth Def Adj - a/c 256315 - Reg Liab State ITC Gr-up</v>
          </cell>
          <cell r="E20">
            <v>256315</v>
          </cell>
          <cell r="F20" t="str">
            <v>L4</v>
          </cell>
          <cell r="G20" t="str">
            <v>NC</v>
          </cell>
          <cell r="H20" t="str">
            <v>JE#  0013  Oth Def Adj - a/c 256315 - Reg Liab State ITC Gr-up</v>
          </cell>
        </row>
        <row r="21">
          <cell r="A21" t="str">
            <v>0014</v>
          </cell>
          <cell r="B21" t="str">
            <v>JE#  0014  Net Operating Loss - Federal</v>
          </cell>
          <cell r="C21" t="str">
            <v>JE  0014  Net Operating Loss - Federal</v>
          </cell>
          <cell r="D21" t="str">
            <v>JE# 0014  Net Operating Loss - Federal</v>
          </cell>
          <cell r="E21">
            <v>900300</v>
          </cell>
          <cell r="F21" t="str">
            <v>A4</v>
          </cell>
          <cell r="G21" t="str">
            <v>NC</v>
          </cell>
          <cell r="H21" t="str">
            <v>JE#  0014  Net Operating Loss - Federal</v>
          </cell>
        </row>
        <row r="22">
          <cell r="A22" t="str">
            <v>0015</v>
          </cell>
          <cell r="B22" t="str">
            <v>JE#  0015  Record NJ AMA Deductible Tax for FIT purposes</v>
          </cell>
          <cell r="C22" t="str">
            <v>JE  0015  Record NJ AMA Deductible Tax for FIT purposes</v>
          </cell>
          <cell r="D22" t="str">
            <v>JE# 0015  Record NJ AMA Deductible Tax for FIT purposes</v>
          </cell>
          <cell r="G22" t="str">
            <v>NC</v>
          </cell>
          <cell r="H22" t="str">
            <v>JE#  0015  Record NJ AMA Deductible Tax for FIT purposes</v>
          </cell>
        </row>
        <row r="23">
          <cell r="A23" t="str">
            <v>A001</v>
          </cell>
          <cell r="B23" t="str">
            <v>JE#  A001  Current Year Income</v>
          </cell>
          <cell r="C23" t="str">
            <v>JE  A001  Current Year Income</v>
          </cell>
          <cell r="D23" t="str">
            <v>JE# A001  Current Year Income</v>
          </cell>
          <cell r="E23">
            <v>210240</v>
          </cell>
          <cell r="G23" t="str">
            <v>NC</v>
          </cell>
          <cell r="H23" t="str">
            <v>JE#  A001  Current Year Income</v>
          </cell>
        </row>
        <row r="24">
          <cell r="A24" t="str">
            <v>A002</v>
          </cell>
          <cell r="B24" t="str">
            <v>JE#  A002  Rounding</v>
          </cell>
          <cell r="C24" t="str">
            <v>JE  A002  Rounding</v>
          </cell>
          <cell r="D24" t="str">
            <v>JE# A002  Rounding</v>
          </cell>
          <cell r="E24">
            <v>131100</v>
          </cell>
          <cell r="G24" t="str">
            <v>NC</v>
          </cell>
          <cell r="H24" t="str">
            <v>JE#  A002  Rounding</v>
          </cell>
        </row>
        <row r="25">
          <cell r="A25" t="str">
            <v>P001</v>
          </cell>
          <cell r="B25" t="str">
            <v>JE#  P001 Federal Income Tax (FIT 1)</v>
          </cell>
          <cell r="C25" t="str">
            <v>JE  P001  Federal Income Tax (FIT 1)</v>
          </cell>
          <cell r="D25" t="str">
            <v>JE# P001 Federal Income Tax (FIT 1)</v>
          </cell>
          <cell r="F25" t="str">
            <v>n/a</v>
          </cell>
          <cell r="G25" t="str">
            <v>NC</v>
          </cell>
          <cell r="H25" t="str">
            <v>JE#  P001  Federal Income Tax (FIT 1)</v>
          </cell>
        </row>
        <row r="26">
          <cell r="A26" t="str">
            <v>P002</v>
          </cell>
          <cell r="B26" t="str">
            <v>JE#  P002 Def FIT - Reg Asset/Liability (FIT 2)</v>
          </cell>
          <cell r="C26" t="str">
            <v>JE  P002  Def FIT - Reg Asset/Liability (FIT 2)</v>
          </cell>
          <cell r="D26" t="str">
            <v>JE# P002 Def FIT - Reg Asset/Liability (FIT 2)</v>
          </cell>
          <cell r="F26" t="str">
            <v>n/a</v>
          </cell>
          <cell r="G26" t="str">
            <v>NC</v>
          </cell>
          <cell r="H26" t="str">
            <v>JE#  P002  Def FIT - Reg Asset/Liability (FIT 2)</v>
          </cell>
        </row>
        <row r="27">
          <cell r="A27" t="str">
            <v>P003</v>
          </cell>
          <cell r="B27" t="str">
            <v>JE#  P003 Unamortized ITC (FIT 3)</v>
          </cell>
          <cell r="C27" t="str">
            <v>JE  P003  Unamortized ITC (FIT 3)</v>
          </cell>
          <cell r="D27" t="str">
            <v>JE# P003 Unamortized ITC (FIT 3)</v>
          </cell>
          <cell r="F27" t="str">
            <v>n/a</v>
          </cell>
          <cell r="G27" t="str">
            <v>NC</v>
          </cell>
          <cell r="H27" t="str">
            <v>JE#  P003  Unamortized ITC (FIT 3)</v>
          </cell>
        </row>
        <row r="28">
          <cell r="A28" t="str">
            <v>P004</v>
          </cell>
          <cell r="B28" t="str">
            <v>JE#  P004 Preferred Dividends of Subs. and Minority Interest</v>
          </cell>
          <cell r="C28" t="str">
            <v>JE  P004  Preferred Dividends of Subs. and Minority Interest</v>
          </cell>
          <cell r="D28" t="str">
            <v>JE# P004 Preferred Dividends of Subs. and Minority Interest</v>
          </cell>
          <cell r="F28" t="str">
            <v>n/a</v>
          </cell>
          <cell r="G28" t="str">
            <v>NC</v>
          </cell>
          <cell r="H28" t="str">
            <v>JE#  P004  Preferred Dividends of Subs. and Minority Interest</v>
          </cell>
        </row>
        <row r="29">
          <cell r="A29" t="str">
            <v>P005</v>
          </cell>
          <cell r="B29" t="str">
            <v>JE#  P005 Meals and Entertainment</v>
          </cell>
          <cell r="C29" t="str">
            <v>JE  P005  Meals and Entertainment</v>
          </cell>
          <cell r="D29" t="str">
            <v>JE# P005 Meals and Entertainment</v>
          </cell>
          <cell r="F29" t="str">
            <v>n/a</v>
          </cell>
          <cell r="G29" t="str">
            <v>NC</v>
          </cell>
          <cell r="H29" t="str">
            <v>JE#  P005  Meals and Entertainment</v>
          </cell>
        </row>
        <row r="30">
          <cell r="A30" t="str">
            <v>P010</v>
          </cell>
          <cell r="B30" t="str">
            <v>JE#  P010 Tax-exempt Interest Income</v>
          </cell>
          <cell r="C30" t="str">
            <v>JE  P010  Tax-exempt Interest Income</v>
          </cell>
          <cell r="D30" t="str">
            <v>JE# P010 Tax-exempt Interest Income</v>
          </cell>
          <cell r="F30" t="str">
            <v>n/a</v>
          </cell>
          <cell r="G30" t="str">
            <v>NC</v>
          </cell>
          <cell r="H30" t="str">
            <v>JE#  P010  Tax-exempt Interest Income</v>
          </cell>
        </row>
        <row r="31">
          <cell r="A31" t="str">
            <v>P015</v>
          </cell>
          <cell r="B31" t="str">
            <v>JE#  P015 Research and Development Expense</v>
          </cell>
          <cell r="C31" t="str">
            <v>JE  P015  Research and Development Expense</v>
          </cell>
          <cell r="D31" t="str">
            <v>JE# P015 Research and Development Expense</v>
          </cell>
          <cell r="F31" t="str">
            <v>n/a</v>
          </cell>
          <cell r="G31" t="str">
            <v>NC</v>
          </cell>
          <cell r="H31" t="str">
            <v>JE#  P015  Research and Development Expense</v>
          </cell>
        </row>
        <row r="32">
          <cell r="A32" t="str">
            <v>P020</v>
          </cell>
          <cell r="B32" t="str">
            <v>JE#  P020 Nondeductible Penalties</v>
          </cell>
          <cell r="C32" t="str">
            <v>JE  P020  Nondeductible Penalties</v>
          </cell>
          <cell r="D32" t="str">
            <v>JE# P020 Nondeductible Penalties</v>
          </cell>
          <cell r="F32" t="str">
            <v>n/a</v>
          </cell>
          <cell r="G32" t="str">
            <v>NC</v>
          </cell>
          <cell r="H32" t="str">
            <v>JE#  P020  Nondeductible Penalties</v>
          </cell>
        </row>
        <row r="33">
          <cell r="A33" t="str">
            <v>P025</v>
          </cell>
          <cell r="B33" t="str">
            <v>JE#  P025 Nondeductible Donations</v>
          </cell>
          <cell r="C33" t="str">
            <v>JE  P025  Nondeductible Donations</v>
          </cell>
          <cell r="D33" t="str">
            <v>JE# P025 Nondeductible Donations</v>
          </cell>
          <cell r="F33" t="str">
            <v>n/a</v>
          </cell>
          <cell r="G33" t="str">
            <v>NC</v>
          </cell>
          <cell r="H33" t="str">
            <v>JE#  P025  Nondeductible Donations</v>
          </cell>
        </row>
        <row r="34">
          <cell r="A34" t="str">
            <v>P030</v>
          </cell>
          <cell r="B34" t="str">
            <v>JE#  P030 Nondeductible Dues</v>
          </cell>
          <cell r="C34" t="str">
            <v>JE  P030  Nondeductible Dues</v>
          </cell>
          <cell r="D34" t="str">
            <v>JE# P030 Nondeductible Dues</v>
          </cell>
          <cell r="F34" t="str">
            <v>n/a</v>
          </cell>
          <cell r="G34" t="str">
            <v>NC</v>
          </cell>
          <cell r="H34" t="str">
            <v>JE#  P030  Nondeductible Dues</v>
          </cell>
        </row>
        <row r="35">
          <cell r="A35" t="str">
            <v>P035</v>
          </cell>
          <cell r="B35" t="str">
            <v>JE#  P035 Amortization of Preferred Stock Expense</v>
          </cell>
          <cell r="C35" t="str">
            <v>JE  P035  Amortization of Preferred Stock Expense</v>
          </cell>
          <cell r="D35" t="str">
            <v>JE# P035 Amortization of Preferred Stock Expense</v>
          </cell>
          <cell r="F35" t="str">
            <v>n/a</v>
          </cell>
          <cell r="G35" t="str">
            <v>NC</v>
          </cell>
          <cell r="H35" t="str">
            <v>JE#  P035  Amortization of Preferred Stock Expense</v>
          </cell>
        </row>
        <row r="36">
          <cell r="A36" t="str">
            <v>P040</v>
          </cell>
          <cell r="B36" t="str">
            <v>JE#  P040 Lobbying Expenses</v>
          </cell>
          <cell r="C36" t="str">
            <v>JE  P040  Lobbying Expenses</v>
          </cell>
          <cell r="D36" t="str">
            <v>JE# P040 Lobbying Expenses</v>
          </cell>
          <cell r="F36" t="str">
            <v>n/a</v>
          </cell>
          <cell r="G36" t="str">
            <v>NC</v>
          </cell>
          <cell r="H36" t="str">
            <v>JE#  P040  Lobbying Expenses</v>
          </cell>
        </row>
        <row r="37">
          <cell r="A37" t="str">
            <v>P045</v>
          </cell>
          <cell r="B37" t="str">
            <v>JE#  P045 Political Contributions</v>
          </cell>
          <cell r="C37" t="str">
            <v>JE  P045  Political Contributions</v>
          </cell>
          <cell r="D37" t="str">
            <v>JE# P045 Political Contributions</v>
          </cell>
          <cell r="F37" t="str">
            <v>n/a</v>
          </cell>
          <cell r="G37" t="str">
            <v>NC</v>
          </cell>
          <cell r="H37" t="str">
            <v>JE#  P045  Political Contributions</v>
          </cell>
        </row>
        <row r="38">
          <cell r="A38" t="str">
            <v>P050</v>
          </cell>
          <cell r="B38" t="str">
            <v>JE#  P050 Luxury Auto - Lease Limit</v>
          </cell>
          <cell r="C38" t="str">
            <v>JE  P050  Luxury Auto - Lease Limit</v>
          </cell>
          <cell r="D38" t="str">
            <v>JE# P050 Luxury Auto - Lease Limit</v>
          </cell>
          <cell r="F38" t="str">
            <v>n/a</v>
          </cell>
          <cell r="G38" t="str">
            <v>NC</v>
          </cell>
          <cell r="H38" t="str">
            <v>JE#  P050  Luxury Auto - Lease Limit</v>
          </cell>
        </row>
        <row r="39">
          <cell r="A39" t="str">
            <v>P055</v>
          </cell>
          <cell r="B39" t="str">
            <v>JE#  P055 Other Expenses</v>
          </cell>
          <cell r="C39" t="str">
            <v>JE  P055  Other Expenses</v>
          </cell>
          <cell r="D39" t="str">
            <v>JE# P055 Other Expenses</v>
          </cell>
          <cell r="F39" t="str">
            <v>n/a</v>
          </cell>
          <cell r="G39" t="str">
            <v>NC</v>
          </cell>
          <cell r="H39" t="str">
            <v>JE#  P055  Other Expenses</v>
          </cell>
        </row>
        <row r="40">
          <cell r="A40" t="str">
            <v>P060</v>
          </cell>
          <cell r="B40" t="str">
            <v>JE#  P060 Dividends Paid to ESOP</v>
          </cell>
          <cell r="C40" t="str">
            <v>JE  P060  Dividends Paid to ESOP</v>
          </cell>
          <cell r="D40" t="str">
            <v>JE# P060 Dividends Paid to ESOP</v>
          </cell>
          <cell r="F40" t="str">
            <v>n/a</v>
          </cell>
          <cell r="G40" t="str">
            <v>NC</v>
          </cell>
          <cell r="H40" t="str">
            <v>JE#  P060  Dividends Paid to ESOP</v>
          </cell>
        </row>
        <row r="41">
          <cell r="A41" t="str">
            <v>P065</v>
          </cell>
          <cell r="B41" t="str">
            <v>JE#  P065 Reclass of Flow thru Depreciation (Missouri only)</v>
          </cell>
          <cell r="C41" t="str">
            <v>JE  P065  Reclass of Flow thru Depreciation (Missouri only)</v>
          </cell>
          <cell r="D41" t="str">
            <v>JE# P065 Reclass of Flow thru Depreciation (Missouri only)</v>
          </cell>
          <cell r="F41" t="str">
            <v>n/a</v>
          </cell>
          <cell r="G41" t="str">
            <v>NC</v>
          </cell>
          <cell r="H41" t="str">
            <v>JE#  P065  Reclass of Flow thru Depreciation (Missouri only)</v>
          </cell>
        </row>
        <row r="42">
          <cell r="A42" t="str">
            <v>P070</v>
          </cell>
          <cell r="B42" t="str">
            <v>JE#  P070 Interest Expense-Repurchase (TWUS only)</v>
          </cell>
          <cell r="C42" t="str">
            <v>JE  P070  Interest Expense-Repurchase (TWUS only)</v>
          </cell>
          <cell r="D42" t="str">
            <v>JE# P070 Interest Expense-Repurchase (TWUS only)</v>
          </cell>
          <cell r="F42" t="str">
            <v>n/a</v>
          </cell>
          <cell r="G42" t="str">
            <v>NC</v>
          </cell>
          <cell r="H42" t="str">
            <v>JE#  P070  Interest Expense-Repurchase (TWUS only)</v>
          </cell>
        </row>
        <row r="43">
          <cell r="A43" t="str">
            <v>P071</v>
          </cell>
          <cell r="B43" t="str">
            <v>JE#  P071 Deemed Dividend-TWUS only</v>
          </cell>
          <cell r="C43" t="str">
            <v>JE  P071  Deemed Dividend-TWUS only</v>
          </cell>
          <cell r="D43" t="str">
            <v>JE# P071 Deemed Dividend-TWUS only</v>
          </cell>
          <cell r="F43" t="str">
            <v>n/a</v>
          </cell>
          <cell r="G43" t="str">
            <v>NC</v>
          </cell>
          <cell r="H43" t="str">
            <v>JE#  P071  Deemed Dividend-TWUS only</v>
          </cell>
        </row>
        <row r="44">
          <cell r="A44" t="str">
            <v>T005</v>
          </cell>
          <cell r="B44" t="str">
            <v>JE#  T005 Uncollectible Accounts</v>
          </cell>
          <cell r="C44" t="str">
            <v>JE  T005  Uncollectible Accounts</v>
          </cell>
          <cell r="D44" t="str">
            <v>JE# T005 Uncollectible Accounts</v>
          </cell>
          <cell r="E44">
            <v>143000</v>
          </cell>
          <cell r="F44" t="str">
            <v>A7</v>
          </cell>
          <cell r="G44" t="str">
            <v>C</v>
          </cell>
          <cell r="H44" t="str">
            <v>JE#  T005  Uncollectible Accounts</v>
          </cell>
        </row>
        <row r="45">
          <cell r="A45" t="str">
            <v>T010</v>
          </cell>
          <cell r="B45" t="str">
            <v>JE#  T010 Vacation Pay</v>
          </cell>
          <cell r="C45" t="str">
            <v>JE  T010  Vacation Pay</v>
          </cell>
          <cell r="D45" t="str">
            <v>JE# T010 Vacation Pay</v>
          </cell>
          <cell r="E45">
            <v>174100</v>
          </cell>
          <cell r="F45" t="str">
            <v>L5</v>
          </cell>
          <cell r="G45" t="str">
            <v>C</v>
          </cell>
          <cell r="H45" t="str">
            <v>JE#  T010  Vacation Pay</v>
          </cell>
        </row>
        <row r="46">
          <cell r="A46" t="str">
            <v>T015</v>
          </cell>
          <cell r="B46" t="str">
            <v>JE#  T015 Customer Deposits</v>
          </cell>
          <cell r="C46" t="str">
            <v>JE  T015  Customer Deposits</v>
          </cell>
          <cell r="D46" t="str">
            <v>JE# T015 Customer Deposits</v>
          </cell>
          <cell r="E46">
            <v>238010</v>
          </cell>
          <cell r="F46" t="str">
            <v>A7</v>
          </cell>
          <cell r="G46" t="str">
            <v>C</v>
          </cell>
          <cell r="H46" t="str">
            <v>JE#  T015  Customer Deposits</v>
          </cell>
        </row>
        <row r="47">
          <cell r="A47" t="str">
            <v>T020</v>
          </cell>
          <cell r="B47" t="str">
            <v>JE#  T020 Taxable Contributions (CIAC 1)</v>
          </cell>
          <cell r="C47" t="str">
            <v>JE  T020  Taxable Contributions (CIAC 1)</v>
          </cell>
          <cell r="D47" t="str">
            <v>JE# T020 Taxable Contributions (CIAC 1)</v>
          </cell>
          <cell r="E47">
            <v>271200</v>
          </cell>
          <cell r="F47" t="str">
            <v>A1</v>
          </cell>
          <cell r="G47" t="str">
            <v>NC</v>
          </cell>
          <cell r="H47" t="str">
            <v>JE#  T020  Taxable Contributions (CIAC 1)</v>
          </cell>
        </row>
        <row r="48">
          <cell r="A48" t="str">
            <v>T021</v>
          </cell>
          <cell r="B48" t="str">
            <v>JE#  T021 Deferred Revenue - CIAC (CIAC 2)</v>
          </cell>
          <cell r="C48" t="str">
            <v>JE  T021  Deferred Revenue - CIAC (CIAC 2)</v>
          </cell>
          <cell r="D48" t="str">
            <v>JE# T021 Deferred Revenue - CIAC (CIAC 2)</v>
          </cell>
          <cell r="E48">
            <v>262400</v>
          </cell>
          <cell r="F48" t="str">
            <v>A1</v>
          </cell>
          <cell r="G48" t="str">
            <v>NC</v>
          </cell>
          <cell r="H48" t="str">
            <v>JE#  T021  Deferred Revenue - CIAC (CIAC 2)</v>
          </cell>
        </row>
        <row r="49">
          <cell r="A49" t="str">
            <v>T025</v>
          </cell>
          <cell r="B49" t="str">
            <v>JE#  T025 Taxable Advances (CAC 1)</v>
          </cell>
          <cell r="C49" t="str">
            <v>JE  T025  Taxable Advances (CAC 1)</v>
          </cell>
          <cell r="D49" t="str">
            <v>JE# T025 Taxable Advances (CAC 1)</v>
          </cell>
          <cell r="E49">
            <v>252200</v>
          </cell>
          <cell r="F49" t="str">
            <v>A1</v>
          </cell>
          <cell r="G49" t="str">
            <v>NC</v>
          </cell>
          <cell r="H49" t="str">
            <v>JE#  T025  Taxable Advances (CAC 1)</v>
          </cell>
        </row>
        <row r="50">
          <cell r="A50" t="str">
            <v>T026</v>
          </cell>
          <cell r="B50" t="str">
            <v>JE#  T026 Deferred Revenue - AIC (CAC 2)</v>
          </cell>
          <cell r="C50" t="str">
            <v>JE  T026  Deferred Revenue - AIC (CAC 2)</v>
          </cell>
          <cell r="D50" t="str">
            <v>JE# T026 Deferred Revenue - AIC (CAC 2)</v>
          </cell>
          <cell r="E50">
            <v>262420</v>
          </cell>
          <cell r="F50" t="str">
            <v>A1</v>
          </cell>
          <cell r="G50" t="str">
            <v>NC</v>
          </cell>
          <cell r="H50" t="str">
            <v>JE#  T026  Deferred Revenue - AIC (CAC 2)</v>
          </cell>
        </row>
        <row r="51">
          <cell r="A51" t="str">
            <v>T030</v>
          </cell>
          <cell r="B51" t="str">
            <v>JE#  T030 Merger Expense</v>
          </cell>
          <cell r="C51" t="str">
            <v>JE  T030  Merger Expense</v>
          </cell>
          <cell r="D51" t="str">
            <v>JE# T030 Merger Expense</v>
          </cell>
          <cell r="E51">
            <v>186410</v>
          </cell>
          <cell r="F51" t="str">
            <v>A7</v>
          </cell>
          <cell r="G51" t="str">
            <v>NC</v>
          </cell>
          <cell r="H51" t="str">
            <v>JE#  T030  Merger Expense</v>
          </cell>
        </row>
        <row r="52">
          <cell r="A52" t="str">
            <v>T040</v>
          </cell>
          <cell r="B52" t="str">
            <v>JE#  T040 Rate Case Expense</v>
          </cell>
          <cell r="C52" t="str">
            <v>JE  T040  Rate Case Expense</v>
          </cell>
          <cell r="D52" t="str">
            <v>JE# T040 Rate Case Expense</v>
          </cell>
          <cell r="E52">
            <v>182000</v>
          </cell>
          <cell r="F52" t="str">
            <v>L5</v>
          </cell>
          <cell r="G52" t="str">
            <v>NC</v>
          </cell>
          <cell r="H52" t="str">
            <v>JE#  T040  Rate Case Expense</v>
          </cell>
        </row>
        <row r="53">
          <cell r="A53" t="str">
            <v>T045</v>
          </cell>
          <cell r="B53" t="str">
            <v>JE#  T045 Depreciation and Amortization (Depr 1)</v>
          </cell>
          <cell r="C53" t="str">
            <v>JE  T045  Depreciation and Amortization (Depr 1)</v>
          </cell>
          <cell r="D53" t="str">
            <v>JE# T045 Depreciation and Amortization (Depr 1)</v>
          </cell>
          <cell r="E53">
            <v>108000</v>
          </cell>
          <cell r="F53" t="str">
            <v>L1</v>
          </cell>
          <cell r="G53" t="str">
            <v>NC</v>
          </cell>
          <cell r="H53" t="str">
            <v>JE#  T045  Depreciation and Amortization (Depr 1)</v>
          </cell>
        </row>
        <row r="54">
          <cell r="A54" t="str">
            <v>T046</v>
          </cell>
          <cell r="B54" t="str">
            <v>JE#  T046 Post In-Service Depreciation Expense (Depr 2)</v>
          </cell>
          <cell r="C54" t="str">
            <v>JE  T046  Post In-Service Depreciation Expense (Depr 2)</v>
          </cell>
          <cell r="D54" t="str">
            <v>JE# T046 Post In-Service Depreciation Expense (Depr 2)</v>
          </cell>
          <cell r="E54">
            <v>186435</v>
          </cell>
          <cell r="F54" t="str">
            <v>L1</v>
          </cell>
          <cell r="G54" t="str">
            <v>NC</v>
          </cell>
          <cell r="H54" t="str">
            <v>JE#  T046  Post In-Service Depreciation Expense (Depr 2)</v>
          </cell>
        </row>
        <row r="55">
          <cell r="A55" t="str">
            <v>T047</v>
          </cell>
          <cell r="B55" t="str">
            <v>JE#  T047  Reg Asset - AFUDC Debt in Plant (Depr 3)</v>
          </cell>
          <cell r="C55" t="str">
            <v>JE  T047  Reg Asset - AFUDC Debt in Plant (Depr 3)</v>
          </cell>
          <cell r="D55" t="str">
            <v>JE# T047  Reg Asset - AFUDC Debt in Plant (Depr 3)</v>
          </cell>
          <cell r="E55">
            <v>101100</v>
          </cell>
          <cell r="F55" t="str">
            <v>L1</v>
          </cell>
          <cell r="G55" t="str">
            <v>NC</v>
          </cell>
          <cell r="H55" t="str">
            <v>JE#  T047  Reg Asset - AFUDC Debt in Plant (Depr 3)</v>
          </cell>
        </row>
        <row r="56">
          <cell r="A56" t="str">
            <v>T048</v>
          </cell>
          <cell r="B56" t="str">
            <v>JE#  T048 Reg Asset - AFUDC Debt (Depr 4)</v>
          </cell>
          <cell r="C56" t="str">
            <v>JE  T048  Reg Asset - AFUDC Debt (Depr 4)</v>
          </cell>
          <cell r="D56" t="str">
            <v>JE# T048 Reg Asset - AFUDC Debt (Depr 4)</v>
          </cell>
          <cell r="E56">
            <v>108190</v>
          </cell>
          <cell r="F56" t="str">
            <v>L1</v>
          </cell>
          <cell r="G56" t="str">
            <v>NC</v>
          </cell>
          <cell r="H56" t="str">
            <v>JE#  T048  Reg Asset - AFUDC Debt (Depr 4)</v>
          </cell>
        </row>
        <row r="57">
          <cell r="A57" t="str">
            <v>T049</v>
          </cell>
          <cell r="B57" t="str">
            <v>JE#  T049 Goodwill Amortization</v>
          </cell>
          <cell r="C57" t="str">
            <v>JE  T049  Goodwill Amortization</v>
          </cell>
          <cell r="D57" t="str">
            <v>JE# T049 Goodwill Amortization</v>
          </cell>
          <cell r="E57">
            <v>108000</v>
          </cell>
          <cell r="F57" t="str">
            <v>L1</v>
          </cell>
          <cell r="G57" t="str">
            <v>NC</v>
          </cell>
          <cell r="H57" t="str">
            <v>JE#  T049  Goodwill Amortization</v>
          </cell>
        </row>
        <row r="58">
          <cell r="A58" t="str">
            <v>T050</v>
          </cell>
          <cell r="B58" t="str">
            <v>JE#  T050 Intangible Indefinite Life</v>
          </cell>
          <cell r="C58" t="str">
            <v>JE  T050  Intangible Indefinite Life</v>
          </cell>
          <cell r="D58" t="str">
            <v>JE# T050 Intangible Indefinite Life</v>
          </cell>
          <cell r="E58">
            <v>123131</v>
          </cell>
          <cell r="F58" t="str">
            <v>L1</v>
          </cell>
          <cell r="G58" t="str">
            <v>NC</v>
          </cell>
          <cell r="H58" t="str">
            <v>JE#  T050  Intangible Indefinite Life</v>
          </cell>
        </row>
        <row r="59">
          <cell r="A59" t="str">
            <v>T060</v>
          </cell>
          <cell r="B59" t="str">
            <v>JE#  T060 Gains and Losses (Disp 1)</v>
          </cell>
          <cell r="C59" t="str">
            <v>JE  T060  Gains and Losses (Disp 1)</v>
          </cell>
          <cell r="D59" t="str">
            <v>JE# T060 Gains and Losses (Disp 1)</v>
          </cell>
          <cell r="E59">
            <v>108000</v>
          </cell>
          <cell r="F59" t="str">
            <v>L1</v>
          </cell>
          <cell r="G59" t="str">
            <v>NC</v>
          </cell>
          <cell r="H59" t="str">
            <v>JE#  T060  Gains and Losses (Disp 1)</v>
          </cell>
        </row>
        <row r="60">
          <cell r="A60" t="str">
            <v>T061</v>
          </cell>
          <cell r="B60" t="str">
            <v>JE#  T061 Deferred Tax Gain (Disp 2)</v>
          </cell>
          <cell r="C60" t="str">
            <v>JE  T061  Deferred Tax Gain (Disp 2)</v>
          </cell>
          <cell r="D60" t="str">
            <v>JE# T061 Deferred Tax Gain (Disp 2)</v>
          </cell>
          <cell r="E60">
            <v>900100</v>
          </cell>
          <cell r="F60" t="str">
            <v>L1</v>
          </cell>
          <cell r="G60" t="str">
            <v>NC</v>
          </cell>
          <cell r="H60" t="str">
            <v>JE#  T061  Deferred Tax Gain (Disp 2)</v>
          </cell>
        </row>
        <row r="61">
          <cell r="A61" t="str">
            <v>T062</v>
          </cell>
          <cell r="B61" t="str">
            <v>JE#  T062 Abandonment Losses (Disp 3)</v>
          </cell>
          <cell r="C61" t="str">
            <v>JE  T062  Abandonment Losses (Disp 3)</v>
          </cell>
          <cell r="D61" t="str">
            <v>JE# T062 Abandonment Losses (Disp 3)</v>
          </cell>
          <cell r="E61">
            <v>108000</v>
          </cell>
          <cell r="F61" t="str">
            <v>L1</v>
          </cell>
          <cell r="G61" t="str">
            <v>NC</v>
          </cell>
          <cell r="H61" t="str">
            <v>JE#  T062  Abandonment Losses (Disp 3)</v>
          </cell>
        </row>
        <row r="62">
          <cell r="A62" t="str">
            <v>T063</v>
          </cell>
          <cell r="B62" t="str">
            <v>JE#  T063 Cost of Removal (Disp 4)</v>
          </cell>
          <cell r="C62" t="str">
            <v>JE  T063  Cost of Removal (Disp 4)</v>
          </cell>
          <cell r="D62" t="str">
            <v>JE# T063 Cost of Removal (Disp 4)</v>
          </cell>
          <cell r="E62">
            <v>108000</v>
          </cell>
          <cell r="F62" t="str">
            <v>L1</v>
          </cell>
          <cell r="G62" t="str">
            <v>NC</v>
          </cell>
          <cell r="H62" t="str">
            <v>JE#  T063  Cost of Removal (Disp 4)</v>
          </cell>
        </row>
        <row r="63">
          <cell r="A63" t="str">
            <v>T064</v>
          </cell>
          <cell r="B63" t="str">
            <v>JE#  T064 Amortization of Premature Property Losses (Disp 5)</v>
          </cell>
          <cell r="C63" t="str">
            <v>JE  T064  Amortization of Premature Property Losses (Disp 5)</v>
          </cell>
          <cell r="D63" t="str">
            <v>JE# T064 Amortization of Premature Property Losses (Disp 5)</v>
          </cell>
          <cell r="E63">
            <v>186100</v>
          </cell>
          <cell r="F63" t="str">
            <v>L5</v>
          </cell>
          <cell r="G63" t="str">
            <v>NC</v>
          </cell>
          <cell r="H63" t="str">
            <v>JE#  T064  Amortization of Premature Property Losses (Disp 5)</v>
          </cell>
        </row>
        <row r="64">
          <cell r="A64" t="str">
            <v>T070</v>
          </cell>
          <cell r="B64" t="str">
            <v>JE#  T070 Amortization of UPAA</v>
          </cell>
          <cell r="C64" t="str">
            <v>JE  T070  Amortization of UPAA</v>
          </cell>
          <cell r="D64" t="str">
            <v>JE# T070 Amortization of UPAA</v>
          </cell>
          <cell r="E64">
            <v>114000</v>
          </cell>
          <cell r="F64" t="str">
            <v>L1</v>
          </cell>
          <cell r="G64" t="str">
            <v>NC</v>
          </cell>
          <cell r="H64" t="str">
            <v>JE#  T070  Amortization of UPAA</v>
          </cell>
        </row>
        <row r="65">
          <cell r="A65" t="str">
            <v>T075</v>
          </cell>
          <cell r="B65" t="str">
            <v>JE#  T075  Depletion</v>
          </cell>
          <cell r="C65" t="str">
            <v>JE  T075  Depletion</v>
          </cell>
          <cell r="D65" t="str">
            <v>JE# T075  Depletion</v>
          </cell>
          <cell r="E65">
            <v>108400</v>
          </cell>
          <cell r="F65" t="str">
            <v>L1</v>
          </cell>
          <cell r="G65" t="str">
            <v>NC</v>
          </cell>
          <cell r="H65" t="str">
            <v>JE#  T075  Depletion</v>
          </cell>
        </row>
        <row r="66">
          <cell r="A66" t="str">
            <v>T080</v>
          </cell>
          <cell r="B66" t="str">
            <v>JE#  T080 Current Deferred SIT/LIT (SIT 1)</v>
          </cell>
          <cell r="C66" t="str">
            <v>JE  T080  Current Deferred SIT/LIT (SIT 1)</v>
          </cell>
          <cell r="D66" t="str">
            <v>JE# T080 Current Deferred SIT/LIT (SIT 1)</v>
          </cell>
          <cell r="E66">
            <v>236320</v>
          </cell>
          <cell r="F66" t="str">
            <v>L5</v>
          </cell>
          <cell r="G66" t="str">
            <v>NC</v>
          </cell>
          <cell r="H66" t="str">
            <v>JE#  T080  Current Deferred SIT/LIT (SIT 1)</v>
          </cell>
        </row>
        <row r="67">
          <cell r="A67" t="str">
            <v>T081</v>
          </cell>
          <cell r="B67" t="str">
            <v>JE#  T081 Noncurrent Deferred SIT/LIT (SIT 2)</v>
          </cell>
          <cell r="C67" t="str">
            <v>JE  T081  Noncurrent Deferred SIT/LIT (SIT 2)</v>
          </cell>
          <cell r="D67" t="str">
            <v>JE# T081 Noncurrent Deferred SIT/LIT (SIT 2)</v>
          </cell>
          <cell r="E67">
            <v>253220</v>
          </cell>
          <cell r="F67" t="str">
            <v>L5</v>
          </cell>
          <cell r="G67" t="str">
            <v>NC</v>
          </cell>
          <cell r="H67" t="str">
            <v>JE#  T081  Noncurrent Deferred SIT/LIT (SIT 2)</v>
          </cell>
        </row>
        <row r="68">
          <cell r="A68" t="str">
            <v>T082</v>
          </cell>
          <cell r="B68" t="str">
            <v>JE#  T082 SIT - Unamortized ITC (SIT 3)</v>
          </cell>
          <cell r="C68" t="str">
            <v>JE  T082  SIT - Unamortized ITC (SIT 3)</v>
          </cell>
          <cell r="D68" t="str">
            <v>JE# T082 SIT - Unamortized ITC (SIT 3)</v>
          </cell>
          <cell r="E68">
            <v>255105</v>
          </cell>
          <cell r="F68" t="str">
            <v>L5</v>
          </cell>
          <cell r="G68" t="str">
            <v>NC</v>
          </cell>
          <cell r="H68" t="str">
            <v>JE#  T082  SIT - Unamortized ITC (SIT 3)</v>
          </cell>
        </row>
        <row r="69">
          <cell r="A69" t="str">
            <v>T083</v>
          </cell>
          <cell r="B69" t="str">
            <v>JE#  T083 Deferred SIT - Reg Asset/Liability (SIT 4)</v>
          </cell>
          <cell r="C69" t="str">
            <v>JE  T083  Deferred SIT - Reg Asset/Liability (SIT 4)</v>
          </cell>
          <cell r="D69" t="str">
            <v>JE# T083 Deferred SIT - Reg Asset/Liability (SIT 4)</v>
          </cell>
          <cell r="E69">
            <v>210240</v>
          </cell>
          <cell r="F69" t="str">
            <v>L5</v>
          </cell>
          <cell r="G69" t="str">
            <v>NC</v>
          </cell>
          <cell r="H69" t="str">
            <v>JE#  T083  Deferred SIT - Reg Asset/Liability (SIT 4)</v>
          </cell>
        </row>
        <row r="70">
          <cell r="A70" t="str">
            <v>T085</v>
          </cell>
          <cell r="B70" t="str">
            <v>JE#  T085 Purchased Water - Inside (PWtr 1)</v>
          </cell>
          <cell r="C70" t="str">
            <v>JE  T085  Purchased Water - Inside (PWtr 1)</v>
          </cell>
          <cell r="D70" t="str">
            <v>JE# T085 Purchased Water - Inside (PWtr 1)</v>
          </cell>
          <cell r="E70">
            <v>186402</v>
          </cell>
          <cell r="F70" t="str">
            <v>L5</v>
          </cell>
          <cell r="G70" t="str">
            <v>NC</v>
          </cell>
          <cell r="H70" t="str">
            <v>JE#  T085  Purchased Water - Inside (PWtr 1)</v>
          </cell>
        </row>
        <row r="71">
          <cell r="A71" t="str">
            <v>T086</v>
          </cell>
          <cell r="B71" t="str">
            <v>JE#  T086 Purchased Water - Outside (PWtr 2)</v>
          </cell>
          <cell r="C71" t="str">
            <v>JE  T086  Purchased Water - Outside (PWtr 2)</v>
          </cell>
          <cell r="D71" t="str">
            <v>JE# T086 Purchased Water - Outside (PWtr 2)</v>
          </cell>
          <cell r="E71">
            <v>186412</v>
          </cell>
          <cell r="F71" t="str">
            <v>L5</v>
          </cell>
          <cell r="G71" t="str">
            <v>NC</v>
          </cell>
          <cell r="H71" t="str">
            <v>JE#  T086  Purchased Water - Outside (PWtr 2)</v>
          </cell>
        </row>
        <row r="72">
          <cell r="A72" t="str">
            <v>T090</v>
          </cell>
          <cell r="B72" t="str">
            <v>JE#  T090 Depreciation Study</v>
          </cell>
          <cell r="C72" t="str">
            <v>JE  T090  Depreciation Study</v>
          </cell>
          <cell r="D72" t="str">
            <v>JE# T090 Depreciation Study</v>
          </cell>
          <cell r="E72">
            <v>186431</v>
          </cell>
          <cell r="F72" t="str">
            <v>L1</v>
          </cell>
          <cell r="G72" t="str">
            <v>NC</v>
          </cell>
          <cell r="H72" t="str">
            <v>JE#  T090  Depreciation Study</v>
          </cell>
        </row>
        <row r="73">
          <cell r="A73" t="str">
            <v>T095</v>
          </cell>
          <cell r="B73" t="str">
            <v>JE#  T095 Cost of Service Study</v>
          </cell>
          <cell r="C73" t="str">
            <v>JE  T095  Cost of Service Study</v>
          </cell>
          <cell r="D73" t="str">
            <v>JE# T095 Cost of Service Study</v>
          </cell>
          <cell r="E73">
            <v>186432</v>
          </cell>
          <cell r="F73" t="str">
            <v>L5</v>
          </cell>
          <cell r="G73" t="str">
            <v>NC</v>
          </cell>
          <cell r="H73" t="str">
            <v>JE#  T095  Cost of Service Study</v>
          </cell>
        </row>
        <row r="74">
          <cell r="A74" t="str">
            <v>T100</v>
          </cell>
          <cell r="B74" t="str">
            <v>JE#  T100 Amortization of Debt Discount</v>
          </cell>
          <cell r="C74" t="str">
            <v>JE  T100  Amortization of Debt Discount</v>
          </cell>
          <cell r="D74" t="str">
            <v>JE# T100 Amortization of Debt Discount</v>
          </cell>
          <cell r="E74">
            <v>181000</v>
          </cell>
          <cell r="F74" t="str">
            <v>L5</v>
          </cell>
          <cell r="G74" t="str">
            <v>NC</v>
          </cell>
          <cell r="H74" t="str">
            <v>JE#  T100  Amortization of Debt Discount</v>
          </cell>
        </row>
        <row r="75">
          <cell r="A75" t="str">
            <v>T105</v>
          </cell>
          <cell r="B75" t="str">
            <v>JE#  T105 Management Study</v>
          </cell>
          <cell r="C75" t="str">
            <v>JE  T105  Management Study</v>
          </cell>
          <cell r="D75" t="str">
            <v>JE# T105 Management Study</v>
          </cell>
          <cell r="E75">
            <v>186453</v>
          </cell>
          <cell r="F75" t="str">
            <v>L5</v>
          </cell>
          <cell r="G75" t="str">
            <v>NC</v>
          </cell>
          <cell r="H75" t="str">
            <v>JE#  T105  Management Study</v>
          </cell>
        </row>
        <row r="76">
          <cell r="A76" t="str">
            <v>T110</v>
          </cell>
          <cell r="B76" t="str">
            <v>JE#  T110 Waste Disposal</v>
          </cell>
          <cell r="C76" t="str">
            <v>JE  T110  Waste Disposal</v>
          </cell>
          <cell r="D76" t="str">
            <v>JE# T110 Waste Disposal</v>
          </cell>
          <cell r="E76">
            <v>186444</v>
          </cell>
          <cell r="F76" t="str">
            <v>L5</v>
          </cell>
          <cell r="G76" t="str">
            <v>NC</v>
          </cell>
          <cell r="H76" t="str">
            <v>JE#  T110  Waste Disposal</v>
          </cell>
        </row>
        <row r="77">
          <cell r="A77" t="str">
            <v>T115</v>
          </cell>
          <cell r="B77" t="str">
            <v>JE#  T115 Group Insurance</v>
          </cell>
          <cell r="C77" t="str">
            <v>JE  T115  Group Insurance</v>
          </cell>
          <cell r="D77" t="str">
            <v>JE# T115 Group Insurance</v>
          </cell>
          <cell r="E77">
            <v>241200</v>
          </cell>
          <cell r="F77" t="str">
            <v>L5</v>
          </cell>
          <cell r="G77" t="str">
            <v>NC</v>
          </cell>
          <cell r="H77" t="str">
            <v>JE#  T115  Group Insurance</v>
          </cell>
        </row>
        <row r="78">
          <cell r="A78" t="str">
            <v>T120</v>
          </cell>
          <cell r="B78" t="str">
            <v>JE#  T120 Incentive Plan (Incen 1)</v>
          </cell>
          <cell r="C78" t="str">
            <v>JE  T120  Incentive Plan (Incen 1)</v>
          </cell>
          <cell r="D78" t="str">
            <v>JE# T120 Incentive Plan (Incen 1)</v>
          </cell>
          <cell r="E78">
            <v>146200</v>
          </cell>
          <cell r="F78" t="str">
            <v>A7</v>
          </cell>
          <cell r="G78" t="str">
            <v>NC</v>
          </cell>
          <cell r="H78" t="str">
            <v>JE#  T120  Incentive Plan (Incen 1)</v>
          </cell>
        </row>
        <row r="79">
          <cell r="A79" t="str">
            <v>T121</v>
          </cell>
          <cell r="B79" t="str">
            <v>JE#  T121 Incentive Plan (Incen 2)</v>
          </cell>
          <cell r="C79" t="str">
            <v>JE  T121  Incentive Plan (Incen 2)</v>
          </cell>
          <cell r="D79" t="str">
            <v>JE# T121 Incentive Plan (Incen 2)</v>
          </cell>
          <cell r="E79">
            <v>146200</v>
          </cell>
          <cell r="F79" t="str">
            <v>A7</v>
          </cell>
          <cell r="G79" t="str">
            <v>NC</v>
          </cell>
          <cell r="H79" t="str">
            <v>JE#  T121  Incentive Plan (Incen 2)</v>
          </cell>
        </row>
        <row r="80">
          <cell r="A80" t="str">
            <v>T122</v>
          </cell>
          <cell r="B80" t="str">
            <v>JE#  T122 Incentive Plan (Incen 3)</v>
          </cell>
          <cell r="C80" t="str">
            <v>JE  T122  Incentive Plan (Incen 3)</v>
          </cell>
          <cell r="D80" t="str">
            <v>JE# T122 Incentive Plan (Incen 3)</v>
          </cell>
          <cell r="E80">
            <v>262317</v>
          </cell>
          <cell r="F80" t="str">
            <v>A7</v>
          </cell>
          <cell r="G80" t="str">
            <v>NC</v>
          </cell>
          <cell r="H80" t="str">
            <v>JE#  T122  Incentive Plan (Incen 3)</v>
          </cell>
        </row>
        <row r="81">
          <cell r="A81" t="str">
            <v>T123</v>
          </cell>
          <cell r="B81" t="str">
            <v>JE#  T123 Incentive Plan (Incen 4) - AWW Only</v>
          </cell>
          <cell r="C81" t="str">
            <v>JE  T123  Incentive Plan (Incen 4) - AWW Only</v>
          </cell>
          <cell r="D81" t="str">
            <v>JE# T123 Incentive Plan (Incen 4) - AWW Only</v>
          </cell>
          <cell r="E81">
            <v>205425</v>
          </cell>
          <cell r="F81" t="str">
            <v>A7</v>
          </cell>
          <cell r="G81" t="str">
            <v>NC</v>
          </cell>
          <cell r="H81" t="str">
            <v>JE#  T123  Incentive Plan (Incen 4) - AWW Only</v>
          </cell>
        </row>
        <row r="82">
          <cell r="A82" t="str">
            <v>T124</v>
          </cell>
          <cell r="B82" t="str">
            <v>JE#  T124 Incentive Plan (Incent 5)</v>
          </cell>
          <cell r="C82" t="str">
            <v>JE  T124  Incentive Plan (Incent 5)</v>
          </cell>
          <cell r="D82" t="str">
            <v>JE# T124 Incentive Plan (Incent 5)</v>
          </cell>
          <cell r="E82">
            <v>262318</v>
          </cell>
          <cell r="F82" t="str">
            <v>A7</v>
          </cell>
          <cell r="G82" t="str">
            <v>NC</v>
          </cell>
          <cell r="H82" t="str">
            <v>JE#  T124  Incentive Plan (Incent 5)</v>
          </cell>
        </row>
        <row r="83">
          <cell r="A83" t="str">
            <v>T130</v>
          </cell>
          <cell r="B83" t="str">
            <v>JE#  T130 Regulatory Pension (Pension 1)</v>
          </cell>
          <cell r="C83" t="str">
            <v>JE  T130  Regulatory Pension (Pension 1)</v>
          </cell>
          <cell r="D83" t="str">
            <v>JE# T130 Regulatory Pension (Pension 1)</v>
          </cell>
          <cell r="E83">
            <v>186422</v>
          </cell>
          <cell r="F83" t="str">
            <v>A5</v>
          </cell>
          <cell r="G83" t="str">
            <v>NC</v>
          </cell>
          <cell r="H83" t="str">
            <v>JE#  T130  Regulatory Pension (Pension 1)</v>
          </cell>
        </row>
        <row r="84">
          <cell r="A84" t="str">
            <v>T131</v>
          </cell>
          <cell r="B84" t="str">
            <v>JE#  T131 Regulatory Pension (Pension 2)</v>
          </cell>
          <cell r="C84" t="str">
            <v>JE  T131  Regulatory Pension (Pension 2)</v>
          </cell>
          <cell r="D84" t="str">
            <v>JE# T131 Regulatory Pension (Pension 2)</v>
          </cell>
          <cell r="E84">
            <v>262110</v>
          </cell>
          <cell r="F84" t="str">
            <v>A5</v>
          </cell>
          <cell r="G84" t="str">
            <v>NC</v>
          </cell>
          <cell r="H84" t="str">
            <v>JE#  T131  Regulatory Pension (Pension 2)</v>
          </cell>
        </row>
        <row r="85">
          <cell r="A85" t="str">
            <v>T132</v>
          </cell>
          <cell r="B85" t="str">
            <v>JE#  T132 Regulatory Pension (Pension 3)</v>
          </cell>
          <cell r="C85" t="str">
            <v>JE  T132  Regulatory Pension (Pension 3)</v>
          </cell>
          <cell r="D85" t="str">
            <v>JE# T132 Regulatory Pension (Pension 3)</v>
          </cell>
          <cell r="E85">
            <v>262111</v>
          </cell>
          <cell r="F85" t="str">
            <v>A5</v>
          </cell>
          <cell r="G85" t="str">
            <v>NC</v>
          </cell>
          <cell r="H85" t="str">
            <v>JE#  T132  Regulatory Pension (Pension 3)</v>
          </cell>
        </row>
        <row r="86">
          <cell r="A86" t="str">
            <v>T135</v>
          </cell>
          <cell r="B86" t="str">
            <v>JE#  T135 Supplemental Pension</v>
          </cell>
          <cell r="C86" t="str">
            <v>JE  T135  Supplemental Pension</v>
          </cell>
          <cell r="D86" t="str">
            <v>JE# T135 Supplemental Pension</v>
          </cell>
          <cell r="E86">
            <v>262140</v>
          </cell>
          <cell r="F86" t="str">
            <v>A5</v>
          </cell>
          <cell r="G86" t="str">
            <v>NC</v>
          </cell>
          <cell r="H86" t="str">
            <v>JE#  T135  Supplemental Pension</v>
          </cell>
        </row>
        <row r="87">
          <cell r="A87" t="str">
            <v>T140</v>
          </cell>
          <cell r="B87" t="str">
            <v>JE#  T140 Accrued OPEB (OPEB 1)</v>
          </cell>
          <cell r="C87" t="str">
            <v>JE  T140  Accrued OPEB (OPEB 1)</v>
          </cell>
          <cell r="D87" t="str">
            <v>JE# T140 Accrued OPEB (OPEB 1)</v>
          </cell>
          <cell r="E87">
            <v>186417</v>
          </cell>
          <cell r="F87" t="str">
            <v>A3</v>
          </cell>
          <cell r="G87" t="str">
            <v>NC</v>
          </cell>
          <cell r="H87" t="str">
            <v>JE#  T140  Accrued OPEB (OPEB 1)</v>
          </cell>
        </row>
        <row r="88">
          <cell r="A88" t="str">
            <v>T141</v>
          </cell>
          <cell r="B88" t="str">
            <v>JE#  T141 Accrued OPEB (OPEB 2)</v>
          </cell>
          <cell r="C88" t="str">
            <v>JE  T141  Accrued OPEB (OPEB 2)</v>
          </cell>
          <cell r="D88" t="str">
            <v>JE# T141 Accrued OPEB (OPEB 2)</v>
          </cell>
          <cell r="E88">
            <v>262210</v>
          </cell>
          <cell r="F88" t="str">
            <v>A3</v>
          </cell>
          <cell r="G88" t="str">
            <v>NC</v>
          </cell>
          <cell r="H88" t="str">
            <v>JE#  T141  Accrued OPEB (OPEB 2)</v>
          </cell>
        </row>
        <row r="89">
          <cell r="A89" t="str">
            <v>T142</v>
          </cell>
          <cell r="B89" t="str">
            <v>JE#  T142 Accrued OPEB (OPEB 3)</v>
          </cell>
          <cell r="C89" t="str">
            <v>JE  T142  Accrued OPEB (OPEB 3)</v>
          </cell>
          <cell r="D89" t="str">
            <v>JE# T142 Accrued OPEB (OPEB 3)</v>
          </cell>
          <cell r="E89">
            <v>262210</v>
          </cell>
          <cell r="F89" t="str">
            <v>A3</v>
          </cell>
          <cell r="G89" t="str">
            <v>NC</v>
          </cell>
          <cell r="H89" t="str">
            <v>JE#  T142  Accrued OPEB (OPEB 3)</v>
          </cell>
        </row>
        <row r="90">
          <cell r="A90" t="str">
            <v>T145</v>
          </cell>
          <cell r="B90" t="str">
            <v>JE#  T145 AFUDC (AFUDC 1)</v>
          </cell>
          <cell r="C90" t="str">
            <v>JE  T145  AFUDC (AFUDC 1)</v>
          </cell>
          <cell r="D90" t="str">
            <v>JE# T145 AFUDC (AFUDC 1)</v>
          </cell>
          <cell r="E90">
            <v>101000</v>
          </cell>
          <cell r="F90" t="str">
            <v>L1</v>
          </cell>
          <cell r="G90" t="str">
            <v>NC</v>
          </cell>
          <cell r="H90" t="str">
            <v>JE#  T145  AFUDC (AFUDC 1)</v>
          </cell>
        </row>
        <row r="91">
          <cell r="A91" t="str">
            <v>T146</v>
          </cell>
          <cell r="B91" t="str">
            <v>JE#  T146 AFUDC - Equity CWIP (AFUDC 2)</v>
          </cell>
          <cell r="C91" t="str">
            <v>JE  T146  AFUDC - Equity CWIP (AFUDC 2)</v>
          </cell>
          <cell r="D91" t="str">
            <v>JE# T146 AFUDC - Equity CWIP (AFUDC 2)</v>
          </cell>
          <cell r="E91">
            <v>185035</v>
          </cell>
          <cell r="F91" t="str">
            <v>L1</v>
          </cell>
          <cell r="G91" t="str">
            <v>NC</v>
          </cell>
          <cell r="H91" t="str">
            <v>JE#  T146  AFUDC - Equity CWIP (AFUDC 2)</v>
          </cell>
        </row>
        <row r="92">
          <cell r="A92" t="str">
            <v>T147</v>
          </cell>
          <cell r="B92" t="str">
            <v>JE#  T147 Amortization of Regulatory Asset (AFUDC 3)</v>
          </cell>
          <cell r="C92" t="str">
            <v>JE  T147  Amortization of Regulatory Asset (AFUDC 3)</v>
          </cell>
          <cell r="D92" t="str">
            <v>JE# T147 Amortization of Regulatory Asset (AFUDC 3)</v>
          </cell>
          <cell r="E92">
            <v>185055</v>
          </cell>
          <cell r="F92" t="str">
            <v>L1</v>
          </cell>
          <cell r="G92" t="str">
            <v>NC</v>
          </cell>
          <cell r="H92" t="str">
            <v>JE#  T147  Amortization of Regulatory Asset (AFUDC 3)</v>
          </cell>
        </row>
        <row r="93">
          <cell r="A93" t="str">
            <v>T150</v>
          </cell>
          <cell r="B93" t="str">
            <v>JE#  T150 Post AFUDC (P AFUDC 1)</v>
          </cell>
          <cell r="C93" t="str">
            <v>JE  T150  Post AFUDC (P AFUDC 1)</v>
          </cell>
          <cell r="D93" t="str">
            <v>JE# T150 Post AFUDC (P AFUDC 1)</v>
          </cell>
          <cell r="E93">
            <v>186434</v>
          </cell>
          <cell r="F93" t="str">
            <v>L1</v>
          </cell>
          <cell r="G93" t="str">
            <v>NC</v>
          </cell>
          <cell r="H93" t="str">
            <v>JE#  T150  Post AFUDC (P AFUDC 1)</v>
          </cell>
        </row>
        <row r="94">
          <cell r="A94" t="str">
            <v>T151</v>
          </cell>
          <cell r="B94" t="str">
            <v>JE#  T151 Amortization of Post In-Service AFUDC (P AFUDC 2)</v>
          </cell>
          <cell r="C94" t="str">
            <v>JE  T151  Amortization of Post In-Service AFUDC (P AFUDC 2)</v>
          </cell>
          <cell r="D94" t="str">
            <v>JE# T151 Amortization of Post In-Service AFUDC (P AFUDC 2)</v>
          </cell>
          <cell r="E94">
            <v>101000</v>
          </cell>
          <cell r="F94" t="str">
            <v>L1</v>
          </cell>
          <cell r="G94" t="str">
            <v>NC</v>
          </cell>
          <cell r="H94" t="str">
            <v>JE#  T151  Amortization of Post In-Service AFUDC (P AFUDC 2)</v>
          </cell>
        </row>
        <row r="95">
          <cell r="A95" t="str">
            <v>T152</v>
          </cell>
          <cell r="B95" t="str">
            <v>JE#  T152 Pavement Repairs</v>
          </cell>
          <cell r="C95" t="str">
            <v>JE  T152  Pavement Repairs</v>
          </cell>
          <cell r="D95" t="str">
            <v>JE# T152 Pavement Repairs</v>
          </cell>
          <cell r="E95">
            <v>241500</v>
          </cell>
          <cell r="F95" t="str">
            <v>L1</v>
          </cell>
          <cell r="G95" t="str">
            <v>NC</v>
          </cell>
          <cell r="H95" t="str">
            <v>JE#  T152  Pavement Repairs</v>
          </cell>
        </row>
        <row r="96">
          <cell r="A96" t="str">
            <v>T160</v>
          </cell>
          <cell r="B96" t="str">
            <v>JE#  T160 Deferred Maintenance (Maint 1)</v>
          </cell>
          <cell r="C96" t="str">
            <v>JE  T160  Deferred Maintenance (Maint 1)</v>
          </cell>
          <cell r="D96" t="str">
            <v>JE# T160 Deferred Maintenance (Maint 1)</v>
          </cell>
          <cell r="E96">
            <v>186401</v>
          </cell>
          <cell r="F96" t="str">
            <v>L5</v>
          </cell>
          <cell r="G96" t="str">
            <v>NC</v>
          </cell>
          <cell r="H96" t="str">
            <v>JE#  T160  Deferred Maintenance (Maint 1)</v>
          </cell>
        </row>
        <row r="97">
          <cell r="A97" t="str">
            <v>T161</v>
          </cell>
          <cell r="B97" t="str">
            <v>JE#  T161 Deferred Maintenance (Maint 2)</v>
          </cell>
          <cell r="C97" t="str">
            <v>JE  T161  Deferred Maintenance (Maint 2)</v>
          </cell>
          <cell r="D97" t="str">
            <v>JE# T161 Deferred Maintenance (Maint 2)</v>
          </cell>
          <cell r="E97">
            <v>265650</v>
          </cell>
          <cell r="F97" t="str">
            <v>A7</v>
          </cell>
          <cell r="G97" t="str">
            <v>NC</v>
          </cell>
          <cell r="H97" t="str">
            <v>JE#  T161  Deferred Maintenance (Maint 2)</v>
          </cell>
        </row>
        <row r="98">
          <cell r="A98" t="str">
            <v>T165</v>
          </cell>
          <cell r="B98" t="str">
            <v>JE#  T165 Miscellaneous Deferred Debits (Misc 1)</v>
          </cell>
          <cell r="C98" t="str">
            <v>JE  T165  Miscellaneous Deferred Debits (Misc 1)</v>
          </cell>
          <cell r="D98" t="str">
            <v>JE# T165 Miscellaneous Deferred Debits (Misc 1)</v>
          </cell>
          <cell r="E98">
            <v>186000</v>
          </cell>
          <cell r="F98" t="str">
            <v>L5</v>
          </cell>
          <cell r="G98" t="str">
            <v>NC</v>
          </cell>
          <cell r="H98" t="str">
            <v>JE#  T165  Miscellaneous Deferred Debits (Misc 1)</v>
          </cell>
        </row>
        <row r="99">
          <cell r="A99" t="str">
            <v>T166</v>
          </cell>
          <cell r="B99" t="str">
            <v>JE#  T166 Miscellaneous Deferred Credits (Misc 2)</v>
          </cell>
          <cell r="C99" t="str">
            <v>JE  T166  Miscellaneous Deferred Credits (Misc 2)</v>
          </cell>
          <cell r="D99" t="str">
            <v>JE# T166 Miscellaneous Deferred Credits (Misc 2)</v>
          </cell>
          <cell r="E99">
            <v>262000</v>
          </cell>
          <cell r="F99" t="str">
            <v>L5</v>
          </cell>
          <cell r="G99" t="str">
            <v>NC</v>
          </cell>
          <cell r="H99" t="str">
            <v>JE#  T166  Miscellaneous Deferred Credits (Misc 2)</v>
          </cell>
        </row>
        <row r="100">
          <cell r="A100" t="str">
            <v>T167</v>
          </cell>
          <cell r="B100" t="str">
            <v>JE#  T167 Miscellaneous Deferred Credits (Misc 3)</v>
          </cell>
          <cell r="C100" t="str">
            <v>JE  T167  Miscellaneous Deferred Credits (Misc 3)</v>
          </cell>
          <cell r="D100" t="str">
            <v>JE# T167 Miscellaneous Deferred Credits (Misc 3)</v>
          </cell>
          <cell r="E100">
            <v>262000</v>
          </cell>
          <cell r="F100" t="str">
            <v>L5</v>
          </cell>
          <cell r="G100" t="str">
            <v>NC</v>
          </cell>
          <cell r="H100" t="str">
            <v>JE#  T167  Miscellaneous Deferred Credits (Misc 3)</v>
          </cell>
        </row>
        <row r="101">
          <cell r="A101" t="str">
            <v>T170</v>
          </cell>
          <cell r="B101" t="str">
            <v>JE#  T170  Deferred Revenue</v>
          </cell>
          <cell r="C101" t="str">
            <v>JE  T170  Deferred Revenue</v>
          </cell>
          <cell r="D101" t="str">
            <v>JE# T170  Deferred Revenue</v>
          </cell>
          <cell r="E101">
            <v>173000</v>
          </cell>
          <cell r="F101" t="str">
            <v>L5</v>
          </cell>
          <cell r="G101" t="str">
            <v>NC</v>
          </cell>
          <cell r="H101" t="str">
            <v>JE#  T170  Deferred Revenue</v>
          </cell>
        </row>
        <row r="102">
          <cell r="A102" t="str">
            <v>T175</v>
          </cell>
          <cell r="B102" t="str">
            <v>JE#  T175  Acquisition Costs</v>
          </cell>
          <cell r="C102" t="str">
            <v>JE  T175  Acquisition Costs</v>
          </cell>
          <cell r="D102" t="str">
            <v>JE# T175  Acquisition Costs</v>
          </cell>
          <cell r="E102">
            <v>123140</v>
          </cell>
          <cell r="F102" t="str">
            <v>L2</v>
          </cell>
          <cell r="G102" t="str">
            <v>NC</v>
          </cell>
          <cell r="H102" t="str">
            <v>JE#  T175  Acquisition Costs</v>
          </cell>
        </row>
        <row r="103">
          <cell r="A103" t="str">
            <v>T180</v>
          </cell>
          <cell r="B103" t="str">
            <v>JE#  T180 Insurance Other than Group</v>
          </cell>
          <cell r="C103" t="str">
            <v>JE  T180  Insurance Other than Group</v>
          </cell>
          <cell r="D103" t="str">
            <v>JE# T180 Insurance Other than Group</v>
          </cell>
          <cell r="E103">
            <v>262180</v>
          </cell>
          <cell r="F103" t="str">
            <v>L5</v>
          </cell>
          <cell r="G103" t="str">
            <v>NC</v>
          </cell>
          <cell r="H103" t="str">
            <v>JE#  T180  Insurance Other than Group</v>
          </cell>
        </row>
        <row r="104">
          <cell r="A104" t="str">
            <v>T185</v>
          </cell>
          <cell r="B104" t="str">
            <v>JE#  T185 Deferred Security Costs</v>
          </cell>
          <cell r="C104" t="str">
            <v>JE  T185  Deferred Security Costs</v>
          </cell>
          <cell r="D104" t="str">
            <v>JE# T185 Deferred Security Costs</v>
          </cell>
          <cell r="E104">
            <v>186492</v>
          </cell>
          <cell r="F104" t="str">
            <v>L6</v>
          </cell>
          <cell r="G104" t="str">
            <v>NC</v>
          </cell>
          <cell r="H104" t="str">
            <v>JE#  T185  Deferred Security Costs</v>
          </cell>
        </row>
        <row r="105">
          <cell r="A105" t="str">
            <v>T186</v>
          </cell>
          <cell r="B105" t="str">
            <v>JE#  T186 Deferred Customer Service Center Costs</v>
          </cell>
          <cell r="C105" t="str">
            <v>JE  T186  Deferred Customer Service Center Costs</v>
          </cell>
          <cell r="D105" t="str">
            <v>JE# T186 Deferred Customer Service Center Costs</v>
          </cell>
          <cell r="E105">
            <v>183280</v>
          </cell>
          <cell r="F105" t="str">
            <v>L5</v>
          </cell>
          <cell r="G105" t="str">
            <v>NC</v>
          </cell>
          <cell r="H105" t="str">
            <v>JE#  T186  Deferred Customer Service Center Costs</v>
          </cell>
        </row>
        <row r="106">
          <cell r="A106" t="str">
            <v>T187</v>
          </cell>
          <cell r="B106" t="str">
            <v>JE#  T187 Deferred Financial Services Costs</v>
          </cell>
          <cell r="C106" t="str">
            <v>JE  T187  Deferred Financial Services Costs</v>
          </cell>
          <cell r="D106" t="str">
            <v>JE# T187 Deferred Financial Services Costs</v>
          </cell>
          <cell r="E106">
            <v>183281</v>
          </cell>
          <cell r="F106" t="str">
            <v>L5</v>
          </cell>
          <cell r="G106" t="str">
            <v>NC</v>
          </cell>
          <cell r="H106" t="str">
            <v>JE#  T187  Deferred Financial Services Costs</v>
          </cell>
        </row>
        <row r="107">
          <cell r="A107" t="str">
            <v>T190</v>
          </cell>
          <cell r="B107" t="str">
            <v>JE#  T190 Deferred Business Change Costs</v>
          </cell>
          <cell r="C107" t="str">
            <v>JE  T190  Deferred Business Change Costs</v>
          </cell>
          <cell r="D107" t="str">
            <v>JE# T190 Deferred Business Change Costs</v>
          </cell>
          <cell r="E107">
            <v>186414</v>
          </cell>
          <cell r="F107" t="str">
            <v>A7</v>
          </cell>
          <cell r="G107" t="str">
            <v>NC</v>
          </cell>
          <cell r="H107" t="str">
            <v>JE#  T190  Deferred Business Change Costs</v>
          </cell>
        </row>
        <row r="108">
          <cell r="A108" t="str">
            <v>T191</v>
          </cell>
          <cell r="B108" t="str">
            <v>JE#  T191 Deferred IMO Costs</v>
          </cell>
          <cell r="C108" t="str">
            <v>JE  T191  Deferred IMO Costs</v>
          </cell>
          <cell r="D108" t="str">
            <v>JE# T191 Deferred IMO Costs</v>
          </cell>
          <cell r="E108">
            <v>186415</v>
          </cell>
          <cell r="F108" t="str">
            <v>A7</v>
          </cell>
          <cell r="G108" t="str">
            <v>NC</v>
          </cell>
          <cell r="H108" t="str">
            <v>JE#  T191  Deferred IMO Costs</v>
          </cell>
        </row>
        <row r="109">
          <cell r="A109" t="str">
            <v>T200</v>
          </cell>
          <cell r="B109" t="str">
            <v>JE#  T200 Transaction Costs</v>
          </cell>
          <cell r="C109" t="str">
            <v>JE  T200  Transaction Costs</v>
          </cell>
          <cell r="D109" t="str">
            <v>JE# T200 Transaction Costs</v>
          </cell>
          <cell r="E109">
            <v>210240</v>
          </cell>
          <cell r="F109" t="str">
            <v>L5</v>
          </cell>
          <cell r="G109" t="str">
            <v>NC</v>
          </cell>
          <cell r="H109" t="str">
            <v>JE#  T200  Transaction Costs</v>
          </cell>
        </row>
        <row r="110">
          <cell r="A110" t="str">
            <v>T210</v>
          </cell>
          <cell r="B110" t="str">
            <v>JE#  T210 Section 163(j) Limitation</v>
          </cell>
          <cell r="C110" t="str">
            <v>JE  T210  Section 163(j) Limitation</v>
          </cell>
          <cell r="D110" t="str">
            <v>JE# T210 Section 163(j) Limitation</v>
          </cell>
          <cell r="E110">
            <v>210240</v>
          </cell>
          <cell r="F110" t="str">
            <v>A7</v>
          </cell>
          <cell r="G110" t="str">
            <v>C</v>
          </cell>
          <cell r="H110" t="str">
            <v>JE#  T210  Section 163(j) Limitation</v>
          </cell>
        </row>
        <row r="111">
          <cell r="A111" t="str">
            <v>T215</v>
          </cell>
          <cell r="B111" t="str">
            <v>JE#  T215  DO NOT USE  after 2003 Foreign Interest-267 Adjustment</v>
          </cell>
          <cell r="C111" t="str">
            <v>JE  T215  DO NOT USE  after 2003 Foreign Interest-267 Adjustment</v>
          </cell>
          <cell r="D111" t="str">
            <v>JE# T215  DO NOT USE  after 2003 Foreign Interest-267 Adjustment</v>
          </cell>
          <cell r="E111">
            <v>210240</v>
          </cell>
          <cell r="F111" t="str">
            <v>A7</v>
          </cell>
          <cell r="G111" t="str">
            <v>C</v>
          </cell>
          <cell r="H111" t="str">
            <v>JE#  T215  DO NOT USE  after 2003 Foreign Interest-267 Adjustment</v>
          </cell>
        </row>
        <row r="112">
          <cell r="A112" t="str">
            <v>T216</v>
          </cell>
          <cell r="B112" t="str">
            <v>JE#  T216 Foreign Interest-267 Adjustment</v>
          </cell>
          <cell r="C112" t="str">
            <v>JE  T216  Foreign Interest-267 Adjustment</v>
          </cell>
          <cell r="D112" t="str">
            <v>JE# T216 Foreign Interest-267 Adjustment</v>
          </cell>
          <cell r="E112">
            <v>210240</v>
          </cell>
          <cell r="F112" t="str">
            <v>L5</v>
          </cell>
          <cell r="G112" t="str">
            <v>C</v>
          </cell>
          <cell r="H112" t="str">
            <v>JE#  T216  Foreign Interest-267 Adjustment</v>
          </cell>
        </row>
        <row r="113">
          <cell r="A113" t="str">
            <v>T220</v>
          </cell>
          <cell r="B113" t="str">
            <v>JE#  T220 JV Gain/Loss</v>
          </cell>
          <cell r="C113" t="str">
            <v>JE  T220  JV Gain/Loss</v>
          </cell>
          <cell r="D113" t="str">
            <v>JE# T220 JV Gain/Loss</v>
          </cell>
          <cell r="E113">
            <v>108000</v>
          </cell>
          <cell r="F113" t="str">
            <v>A7</v>
          </cell>
          <cell r="G113" t="str">
            <v>C</v>
          </cell>
          <cell r="H113" t="str">
            <v>JE#  T220  JV Gain/Loss</v>
          </cell>
        </row>
        <row r="114">
          <cell r="A114" t="str">
            <v>T225</v>
          </cell>
          <cell r="B114" t="str">
            <v>JE#  T225 Medicare Part D-Temp M-1 Reclass</v>
          </cell>
          <cell r="C114" t="str">
            <v>JE  T225  Medicare Part D-Temp M-1 Reclass</v>
          </cell>
          <cell r="D114" t="str">
            <v>JE# T225 Medicare Part D-Temp M-1 Reclass</v>
          </cell>
          <cell r="E114">
            <v>210240</v>
          </cell>
          <cell r="F114" t="str">
            <v>L5</v>
          </cell>
          <cell r="G114" t="str">
            <v>NC</v>
          </cell>
          <cell r="H114" t="str">
            <v>Medicare Subsidy offset (T225 in P/Y)</v>
          </cell>
        </row>
        <row r="115">
          <cell r="A115" t="str">
            <v>U100</v>
          </cell>
          <cell r="B115" t="str">
            <v>JE#  U100  Deferred Security Offset</v>
          </cell>
          <cell r="C115" t="str">
            <v>JE  U100  Deferred Security Offset</v>
          </cell>
          <cell r="D115" t="str">
            <v>JE# U100  Deferred Security Offset</v>
          </cell>
          <cell r="E115">
            <v>186492</v>
          </cell>
          <cell r="F115" t="str">
            <v>L6</v>
          </cell>
          <cell r="G115" t="str">
            <v>NC</v>
          </cell>
          <cell r="H115" t="str">
            <v>JE#  U100  Deferred Security Offset</v>
          </cell>
        </row>
        <row r="116">
          <cell r="A116" t="str">
            <v>U101</v>
          </cell>
          <cell r="B116" t="str">
            <v>JE#  U101  Deferred Customer Service Offset</v>
          </cell>
          <cell r="C116" t="str">
            <v>JE  U101  Deferred Customer Service Offset</v>
          </cell>
          <cell r="D116" t="str">
            <v>JE# U101  Deferred Customer Service Offset</v>
          </cell>
          <cell r="E116">
            <v>183280</v>
          </cell>
          <cell r="F116" t="str">
            <v>L5</v>
          </cell>
          <cell r="G116" t="str">
            <v>NC</v>
          </cell>
          <cell r="H116" t="str">
            <v>JE#  U101  Deferred Customer Service Offset</v>
          </cell>
        </row>
        <row r="117">
          <cell r="A117" t="str">
            <v>U102</v>
          </cell>
          <cell r="B117" t="str">
            <v>JE#  U102  Deferred Financial Services Offset</v>
          </cell>
          <cell r="C117" t="str">
            <v>JE  U102  Deferred Financial Services Offset</v>
          </cell>
          <cell r="D117" t="str">
            <v>JE# U102  Deferred Financial Services Offset</v>
          </cell>
          <cell r="E117">
            <v>183281</v>
          </cell>
          <cell r="F117" t="str">
            <v>L5</v>
          </cell>
          <cell r="G117" t="str">
            <v>NC</v>
          </cell>
          <cell r="H117" t="str">
            <v>JE#  U102  Deferred Financial Services Offset</v>
          </cell>
        </row>
        <row r="118">
          <cell r="A118" t="str">
            <v>U103</v>
          </cell>
          <cell r="B118" t="str">
            <v>JE#  U103  Miscellaneous Deferred Offset</v>
          </cell>
          <cell r="C118" t="str">
            <v>JE  U103  Miscellaneous Deferred Offset</v>
          </cell>
          <cell r="D118" t="str">
            <v>JE# U103  Miscellaneous Deferred Offset</v>
          </cell>
          <cell r="E118">
            <v>262000</v>
          </cell>
          <cell r="F118" t="str">
            <v>L5</v>
          </cell>
          <cell r="G118" t="str">
            <v>NC</v>
          </cell>
          <cell r="H118" t="str">
            <v>JE#  U103  Miscellaneous Deferred Offset</v>
          </cell>
        </row>
        <row r="119">
          <cell r="A119" t="str">
            <v>Z000</v>
          </cell>
          <cell r="B119" t="str">
            <v>JE#  Z000 Prov/Rtn Adjustment - R&amp;D</v>
          </cell>
          <cell r="C119" t="str">
            <v>JE  Z000  Prov/Rtn Adjustment - R&amp;D</v>
          </cell>
          <cell r="D119" t="str">
            <v>JE# Z000 Prov/Rtn Adjustment - R&amp;D</v>
          </cell>
          <cell r="E119">
            <v>210240</v>
          </cell>
          <cell r="F119" t="str">
            <v>L5</v>
          </cell>
          <cell r="G119" t="str">
            <v>NC</v>
          </cell>
          <cell r="H119" t="str">
            <v>JE#  Z000  Prov/Rtn Adjustment - R&amp;D</v>
          </cell>
        </row>
        <row r="120">
          <cell r="A120" t="str">
            <v>Z001</v>
          </cell>
          <cell r="B120" t="str">
            <v>JE#  Z001 Prov/Rtn Adj-Env. Tax</v>
          </cell>
          <cell r="C120" t="str">
            <v>JE  Z001  Prov/Rtn Adj-Env. Tax</v>
          </cell>
          <cell r="D120" t="str">
            <v>JE# Z001 Prov/Rtn Adj-Env. Tax</v>
          </cell>
          <cell r="E120">
            <v>236150</v>
          </cell>
          <cell r="F120" t="str">
            <v>L5</v>
          </cell>
          <cell r="G120" t="str">
            <v>NC</v>
          </cell>
          <cell r="H120" t="str">
            <v>JE#  Z001  Prov/Rtn Adj-Env. Tax</v>
          </cell>
        </row>
        <row r="121">
          <cell r="A121" t="str">
            <v>Z004</v>
          </cell>
          <cell r="B121" t="str">
            <v>JE#  Z004  Prov/Rtn Adjustment - Misc Deferred</v>
          </cell>
          <cell r="C121" t="str">
            <v>JE  Z004  Prov/Rtn Adjustment - Misc Deferred</v>
          </cell>
          <cell r="D121" t="str">
            <v>JE# Z004  Prov/Rtn Adjustment - Misc Deferred</v>
          </cell>
          <cell r="E121">
            <v>186000</v>
          </cell>
          <cell r="F121" t="str">
            <v>L5</v>
          </cell>
          <cell r="G121" t="str">
            <v>NC</v>
          </cell>
          <cell r="H121" t="str">
            <v>JE#  Z004  Prov/Rtn Adjustment - Misc Deferred</v>
          </cell>
        </row>
        <row r="122">
          <cell r="A122" t="str">
            <v>Z005</v>
          </cell>
          <cell r="B122" t="str">
            <v>JE#  Z005 Prov/Rtn Adjustment - Taxable Advances</v>
          </cell>
          <cell r="C122" t="str">
            <v>JE  Z005  Prov/Rtn Adjustment - Taxable Advances</v>
          </cell>
          <cell r="D122" t="str">
            <v>JE# Z005 Prov/Rtn Adjustment - Taxable Advances</v>
          </cell>
          <cell r="E122">
            <v>252200</v>
          </cell>
          <cell r="F122" t="str">
            <v>L5</v>
          </cell>
          <cell r="G122" t="str">
            <v>NC</v>
          </cell>
          <cell r="H122" t="str">
            <v>JE#  Z005  Prov/Rtn Adjustment - Taxable Advances</v>
          </cell>
        </row>
        <row r="123">
          <cell r="A123" t="str">
            <v>Z006</v>
          </cell>
          <cell r="B123" t="str">
            <v>JE#  Z006  Prov/Rtn Rec - Deferred Maintenance</v>
          </cell>
          <cell r="C123" t="str">
            <v>JE  Z006  Prov/Rtn Rec - Deferred Maintenance</v>
          </cell>
          <cell r="D123" t="str">
            <v>JE# Z006  Prov/Rtn Rec - Deferred Maintenance</v>
          </cell>
          <cell r="E123">
            <v>186401</v>
          </cell>
          <cell r="F123" t="str">
            <v>L5</v>
          </cell>
          <cell r="G123" t="str">
            <v>NC</v>
          </cell>
          <cell r="H123" t="str">
            <v>JE#  Z006  Prov/Rtn Rec - Deferred Maintenance</v>
          </cell>
        </row>
        <row r="124">
          <cell r="A124" t="str">
            <v>Z007</v>
          </cell>
          <cell r="B124" t="str">
            <v>JE#  Z007 Prov/Rtn adjustment - Nondeductible penalties</v>
          </cell>
          <cell r="C124" t="str">
            <v>JE  Z007  Prov/Rtn adjustment - Nondeductible penalties</v>
          </cell>
          <cell r="D124" t="str">
            <v>JE# Z007 Prov/Rtn adjustment - Nondeductible penalties</v>
          </cell>
          <cell r="E124">
            <v>210240</v>
          </cell>
          <cell r="F124" t="str">
            <v>L5</v>
          </cell>
          <cell r="G124" t="str">
            <v>NC</v>
          </cell>
          <cell r="H124" t="str">
            <v>JE#  Z007  Prov/Rtn adjustment - Nondeductible penalties</v>
          </cell>
        </row>
        <row r="125">
          <cell r="A125" t="str">
            <v>Z010</v>
          </cell>
          <cell r="B125" t="str">
            <v>JE#  Z010 Prov/Rtn Adjustment - Non-Deductible Donations</v>
          </cell>
          <cell r="C125" t="str">
            <v>JE  Z010  Prov/Rtn Adjustment - Non-Deductible Donations</v>
          </cell>
          <cell r="D125" t="str">
            <v>JE# Z010 Prov/Rtn Adjustment - Non-Deductible Donations</v>
          </cell>
          <cell r="E125">
            <v>210240</v>
          </cell>
          <cell r="F125" t="str">
            <v>L5</v>
          </cell>
          <cell r="G125" t="str">
            <v>NC</v>
          </cell>
          <cell r="H125" t="str">
            <v>JE#  Z010  Prov/Rtn Adjustment - Non-Deductible Donations</v>
          </cell>
        </row>
        <row r="126">
          <cell r="A126" t="str">
            <v>Z015</v>
          </cell>
          <cell r="B126" t="str">
            <v>JE#  Z015  Prov/Rtn Adj. -  From K-1-Other Income</v>
          </cell>
          <cell r="C126" t="str">
            <v>JE  Z015  Prov/Rtn Adj. -  From K-1-Other Income</v>
          </cell>
          <cell r="D126" t="str">
            <v>JE# Z015  Prov/Rtn Adj. -  From K-1-Other Income</v>
          </cell>
          <cell r="E126">
            <v>210240</v>
          </cell>
          <cell r="F126" t="str">
            <v>L5</v>
          </cell>
          <cell r="G126" t="str">
            <v>NC</v>
          </cell>
          <cell r="H126" t="str">
            <v>JE#  Z015  Prov/Rtn Adj. -  From K-1-Other Income</v>
          </cell>
        </row>
        <row r="127">
          <cell r="A127" t="str">
            <v>Z016</v>
          </cell>
          <cell r="B127" t="str">
            <v>JE#  Z016  Prov/Rtn Adj. -  From K-1-interest income</v>
          </cell>
          <cell r="C127" t="str">
            <v>JE  Z016  Prov/Rtn Adj. -  From K-1-interest income</v>
          </cell>
          <cell r="D127" t="str">
            <v>JE# Z016  Prov/Rtn Adj. -  From K-1-interest income</v>
          </cell>
          <cell r="E127">
            <v>210240</v>
          </cell>
          <cell r="F127" t="str">
            <v>L5</v>
          </cell>
          <cell r="G127" t="str">
            <v>NC</v>
          </cell>
          <cell r="H127" t="str">
            <v>JE#  Z016  Prov/Rtn Adj. -  From K-1-interest income</v>
          </cell>
        </row>
        <row r="128">
          <cell r="A128" t="str">
            <v>Z017</v>
          </cell>
          <cell r="B128" t="str">
            <v>JE#  Z017 Prov/Rtn Adj. - From K-1-Char.Contributions</v>
          </cell>
          <cell r="C128" t="str">
            <v>JE  Z017  Prov/Rtn Adj. - From K-1-Char.Contributions</v>
          </cell>
          <cell r="D128" t="str">
            <v>JE# Z017 Prov/Rtn Adj. - From K-1-Char.Contributions</v>
          </cell>
          <cell r="E128">
            <v>210240</v>
          </cell>
          <cell r="F128" t="str">
            <v>L5</v>
          </cell>
          <cell r="G128" t="str">
            <v>NC</v>
          </cell>
          <cell r="H128" t="str">
            <v>JE#  Z017  Prov/Rtn Adj. - From K-1-Char.Contributions</v>
          </cell>
        </row>
        <row r="129">
          <cell r="A129" t="str">
            <v>Z018</v>
          </cell>
          <cell r="B129" t="str">
            <v>JE#  Z018 Prov/Rtn Adj. - M&amp;E</v>
          </cell>
          <cell r="C129" t="str">
            <v>JE  Z018  Prov/Rtn Adj. - M&amp;E</v>
          </cell>
          <cell r="D129" t="str">
            <v>JE# Z018 Prov/Rtn Adj. - M&amp;E</v>
          </cell>
          <cell r="E129">
            <v>210240</v>
          </cell>
          <cell r="F129" t="str">
            <v>L5</v>
          </cell>
          <cell r="G129" t="str">
            <v>NC</v>
          </cell>
          <cell r="H129" t="str">
            <v>JE#  Z018  Prov/Rtn Adj. - M&amp;E</v>
          </cell>
        </row>
        <row r="130">
          <cell r="A130" t="str">
            <v>Z019</v>
          </cell>
          <cell r="B130" t="str">
            <v>JE#  Z019  Prov/Rtn Adj - AFUDC</v>
          </cell>
          <cell r="C130" t="str">
            <v>JE  Z019  Prov/Rtn Adj - AFUDC</v>
          </cell>
          <cell r="D130" t="str">
            <v>JE# Z019  Prov/Rtn Adj - AFUDC</v>
          </cell>
          <cell r="E130">
            <v>185055</v>
          </cell>
          <cell r="F130" t="str">
            <v>L1</v>
          </cell>
          <cell r="G130" t="str">
            <v>NC</v>
          </cell>
          <cell r="H130" t="str">
            <v>JE#  Z019  Prov/Rtn Adj - AFUDC</v>
          </cell>
        </row>
        <row r="131">
          <cell r="A131" t="str">
            <v>Z020</v>
          </cell>
          <cell r="B131" t="str">
            <v>JE#  Z020  Prov/Rtn Adj - Merger Expense</v>
          </cell>
          <cell r="C131" t="str">
            <v>JE  Z020  Prov/Rtn Adj - Merger Expense</v>
          </cell>
          <cell r="D131" t="str">
            <v>JE# Z020  Prov/Rtn Adj - Merger Expense</v>
          </cell>
          <cell r="E131">
            <v>186410</v>
          </cell>
          <cell r="F131" t="str">
            <v>A7</v>
          </cell>
          <cell r="G131" t="str">
            <v>NC</v>
          </cell>
          <cell r="H131" t="str">
            <v>JE#  Z020  Prov/Rtn Adj - Merger Expense</v>
          </cell>
        </row>
        <row r="132">
          <cell r="A132" t="str">
            <v>Z021</v>
          </cell>
          <cell r="B132" t="str">
            <v>JE#  Z021 Prov/Rtn Adj - SIT Unamortized ITC (SIT 3)</v>
          </cell>
          <cell r="C132" t="str">
            <v>JE  Z021  Prov/Rtn Adj - SIT Unamortized ITC (SIT 3)</v>
          </cell>
          <cell r="D132" t="str">
            <v>JE# Z021 Prov/Rtn Adj - SIT Unamortized ITC (SIT 3)</v>
          </cell>
          <cell r="E132">
            <v>255105</v>
          </cell>
          <cell r="F132" t="str">
            <v>L5</v>
          </cell>
          <cell r="G132" t="str">
            <v>NC</v>
          </cell>
          <cell r="H132" t="str">
            <v>JE#  Z021  Prov/Rtn Adj - SIT Unamortized ITC (SIT 3)</v>
          </cell>
        </row>
        <row r="133">
          <cell r="A133" t="str">
            <v>Z022</v>
          </cell>
          <cell r="B133" t="str">
            <v>JE#  Z022  Prov/Rtn Adjustment - Uncollectibles</v>
          </cell>
          <cell r="C133" t="str">
            <v>JE  Z022  Prov/Rtn Adjustment - Uncollectibles</v>
          </cell>
          <cell r="D133" t="str">
            <v>JE# Z022  Prov/Rtn Adjustment - Uncollectibles</v>
          </cell>
          <cell r="E133">
            <v>143000</v>
          </cell>
          <cell r="F133" t="str">
            <v>A7</v>
          </cell>
          <cell r="G133" t="str">
            <v>C</v>
          </cell>
          <cell r="H133" t="str">
            <v>JE#  Z022  Prov/Rtn Adjustment - Uncollectibles</v>
          </cell>
        </row>
        <row r="134">
          <cell r="A134" t="str">
            <v>Z023</v>
          </cell>
          <cell r="B134" t="str">
            <v>JE#  Z023  Prov/Return Adjustment - Rate Case</v>
          </cell>
          <cell r="C134" t="str">
            <v>JE  Z023  Prov/Return Adjustment - Rate Case</v>
          </cell>
          <cell r="D134" t="str">
            <v>JE# Z023  Prov/Return Adjustment - Rate Case</v>
          </cell>
          <cell r="E134">
            <v>182000</v>
          </cell>
          <cell r="F134" t="str">
            <v>L5</v>
          </cell>
          <cell r="G134" t="str">
            <v>NC</v>
          </cell>
          <cell r="H134" t="str">
            <v>JE#  Z023  Prov/Return Adjustment - Rate Case</v>
          </cell>
        </row>
        <row r="135">
          <cell r="A135" t="str">
            <v>ZZ01</v>
          </cell>
          <cell r="B135" t="str">
            <v>JE#  ZZ01  Def Hist - Plant a/c 101000</v>
          </cell>
          <cell r="C135" t="str">
            <v>JE  ZZ01  Def Hist - Plant a/c 101000</v>
          </cell>
          <cell r="D135" t="str">
            <v>JE# ZZ01  Def Hist - Plant a/c 101000</v>
          </cell>
          <cell r="E135">
            <v>101000</v>
          </cell>
          <cell r="F135" t="str">
            <v>L1</v>
          </cell>
          <cell r="G135" t="str">
            <v>NC</v>
          </cell>
          <cell r="H135" t="str">
            <v>JE#  ZZ01  Def Hist - Plant a/c 101000</v>
          </cell>
        </row>
        <row r="136">
          <cell r="A136" t="str">
            <v>ZZ02</v>
          </cell>
          <cell r="B136" t="str">
            <v>JE#  ZZ02  Def Hist - Land a/c 101303</v>
          </cell>
          <cell r="C136" t="str">
            <v>JE  ZZ02  Def Hist - Land a/c 101303</v>
          </cell>
          <cell r="D136" t="str">
            <v>JE# ZZ02  Def Hist - Land a/c 101303</v>
          </cell>
          <cell r="E136">
            <v>101303</v>
          </cell>
          <cell r="F136" t="str">
            <v>L5</v>
          </cell>
          <cell r="G136" t="str">
            <v>NC</v>
          </cell>
          <cell r="H136" t="str">
            <v>JE#  ZZ02  Def Hist - Land a/c 101303</v>
          </cell>
        </row>
        <row r="137">
          <cell r="A137" t="str">
            <v>ZZ03</v>
          </cell>
          <cell r="B137" t="str">
            <v>JE#  ZZ03  Def Hist - Prop. Held Future Use a/c 103000</v>
          </cell>
          <cell r="C137" t="str">
            <v>JE  ZZ03  Def Hist - Prop. Held Future Use a/c 103000</v>
          </cell>
          <cell r="D137" t="str">
            <v>JE# ZZ03  Def Hist - Prop. Held Future Use a/c 103000</v>
          </cell>
          <cell r="E137">
            <v>103000</v>
          </cell>
          <cell r="F137" t="str">
            <v>L5</v>
          </cell>
          <cell r="G137" t="str">
            <v>NC</v>
          </cell>
          <cell r="H137" t="str">
            <v>JE#  ZZ03  Def Hist - Prop. Held Future Use a/c 103000</v>
          </cell>
        </row>
        <row r="138">
          <cell r="A138" t="str">
            <v>ZZ04</v>
          </cell>
          <cell r="B138" t="str">
            <v>JE#  ZZ04  Def Hist - Depreciation a/c 108000</v>
          </cell>
          <cell r="C138" t="str">
            <v>JE  ZZ04  Def Hist - Depreciation a/c 108000</v>
          </cell>
          <cell r="D138" t="str">
            <v>JE# ZZ04  Def Hist - Depreciation a/c 108000</v>
          </cell>
          <cell r="E138">
            <v>108000</v>
          </cell>
          <cell r="F138" t="str">
            <v>L1</v>
          </cell>
          <cell r="G138" t="str">
            <v>NC</v>
          </cell>
          <cell r="H138" t="str">
            <v>JE#  ZZ04  Def Hist - Depreciation a/c 108000</v>
          </cell>
        </row>
        <row r="139">
          <cell r="A139" t="str">
            <v>ZZ05</v>
          </cell>
          <cell r="B139" t="str">
            <v>JE#  ZZ05  Def Hist - Amortization a/c 110000</v>
          </cell>
          <cell r="C139" t="str">
            <v>JE  ZZ05  Def Hist - Amortization a/c 110000</v>
          </cell>
          <cell r="D139" t="str">
            <v>JE# ZZ05  Def Hist - Amortization a/c 110000</v>
          </cell>
          <cell r="E139">
            <v>110000</v>
          </cell>
          <cell r="F139" t="str">
            <v>L1</v>
          </cell>
          <cell r="G139" t="str">
            <v>NC</v>
          </cell>
          <cell r="H139" t="str">
            <v>JE#  ZZ05  Def Hist - Amortization a/c 110000</v>
          </cell>
        </row>
        <row r="140">
          <cell r="A140" t="str">
            <v>ZZ06</v>
          </cell>
          <cell r="B140" t="str">
            <v>JE#  ZZ06  Def Hist - Amort UPAA a/c 114000</v>
          </cell>
          <cell r="C140" t="str">
            <v>JE  ZZ06  Def Hist - Amort UPAA a/c 114000</v>
          </cell>
          <cell r="D140" t="str">
            <v>JE# ZZ06  Def Hist - Amort UPAA a/c 114000</v>
          </cell>
          <cell r="E140">
            <v>114000</v>
          </cell>
          <cell r="F140" t="str">
            <v>L1</v>
          </cell>
          <cell r="G140" t="str">
            <v>NC</v>
          </cell>
          <cell r="H140" t="str">
            <v>JE#  ZZ06  Def Hist - Amort UPAA a/c 114000</v>
          </cell>
        </row>
        <row r="141">
          <cell r="A141" t="str">
            <v>ZZ07</v>
          </cell>
          <cell r="B141" t="str">
            <v>JE#  ZZ07 Def Hist - Nonutility Proprety a/c 121000</v>
          </cell>
          <cell r="C141" t="str">
            <v>JE  ZZ07  Def Hist - Nonutility Proprety a/c 121000</v>
          </cell>
          <cell r="D141" t="str">
            <v>JE# ZZ07 Def Hist - Nonutility Proprety a/c 121000</v>
          </cell>
          <cell r="E141">
            <v>121000</v>
          </cell>
          <cell r="F141" t="str">
            <v>L1</v>
          </cell>
          <cell r="G141" t="str">
            <v>NC</v>
          </cell>
          <cell r="H141" t="str">
            <v>JE#  ZZ07  Def Hist - Nonutility Proprety a/c 121000</v>
          </cell>
        </row>
        <row r="142">
          <cell r="A142" t="str">
            <v>ZZ08</v>
          </cell>
          <cell r="B142" t="str">
            <v>JE#  ZZ08 Def Hist - Acc Depr Nonutility Prop a/c 122000</v>
          </cell>
          <cell r="C142" t="str">
            <v>JE  ZZ08  Def Hist - Acc Depr Nonutility Prop a/c 122000</v>
          </cell>
          <cell r="D142" t="str">
            <v>JE# ZZ08 Def Hist - Acc Depr Nonutility Prop a/c 122000</v>
          </cell>
          <cell r="E142">
            <v>122000</v>
          </cell>
          <cell r="F142" t="str">
            <v>L1</v>
          </cell>
          <cell r="G142" t="str">
            <v>NC</v>
          </cell>
          <cell r="H142" t="str">
            <v>JE#  ZZ08  Def Hist - Acc Depr Nonutility Prop a/c 122000</v>
          </cell>
        </row>
        <row r="143">
          <cell r="A143" t="str">
            <v>ZZ09</v>
          </cell>
          <cell r="B143" t="str">
            <v>JE#  ZZ09  Def Hist - Vacation Pay a/c 174100</v>
          </cell>
          <cell r="C143" t="str">
            <v>JE  ZZ09  Def Hist - Vacation Pay a/c 174100</v>
          </cell>
          <cell r="D143" t="str">
            <v>JE# ZZ09  Def Hist - Vacation Pay a/c 174100</v>
          </cell>
          <cell r="E143">
            <v>174100</v>
          </cell>
          <cell r="F143" t="str">
            <v>L5</v>
          </cell>
          <cell r="G143" t="str">
            <v>C</v>
          </cell>
          <cell r="H143" t="str">
            <v>JE#  ZZ09  Def Hist - Vacation Pay a/c 174100</v>
          </cell>
        </row>
        <row r="144">
          <cell r="A144" t="str">
            <v>ZZ10</v>
          </cell>
          <cell r="B144" t="str">
            <v>JE#  ZZ10  Def Hist - Debt Discount a/c 181000</v>
          </cell>
          <cell r="C144" t="str">
            <v>JE  ZZ10  Def Hist - Debt Discount a/c 181000</v>
          </cell>
          <cell r="D144" t="str">
            <v>JE# ZZ10  Def Hist - Debt Discount a/c 181000</v>
          </cell>
          <cell r="E144">
            <v>181000</v>
          </cell>
          <cell r="F144" t="str">
            <v>L5</v>
          </cell>
          <cell r="G144" t="str">
            <v>NC</v>
          </cell>
          <cell r="H144" t="str">
            <v>JE#  ZZ10  Def Hist - Debt Discount a/c 181000</v>
          </cell>
        </row>
        <row r="145">
          <cell r="A145" t="str">
            <v>ZZ13</v>
          </cell>
          <cell r="B145" t="str">
            <v>JE#  ZZ13  Def Hist - Reg Pension a/c 186422</v>
          </cell>
          <cell r="C145" t="str">
            <v>JE  ZZ13  Def Hist - Reg Pension a/c 186422</v>
          </cell>
          <cell r="D145" t="str">
            <v>JE# ZZ13  Def Hist - Reg Pension a/c 186422</v>
          </cell>
          <cell r="E145">
            <v>186422</v>
          </cell>
          <cell r="F145" t="str">
            <v>A5</v>
          </cell>
          <cell r="G145" t="str">
            <v>NC</v>
          </cell>
          <cell r="H145" t="str">
            <v>JE#  ZZ13  Def Hist - Reg Pension a/c 186422</v>
          </cell>
        </row>
        <row r="146">
          <cell r="A146" t="str">
            <v>ZZ14</v>
          </cell>
          <cell r="B146" t="str">
            <v>JE#  ZZ14  Def Hist - Customer Deposits a/c 238010</v>
          </cell>
          <cell r="C146" t="str">
            <v>JE  ZZ14  Def Hist - Customer Deposits a/c 238010</v>
          </cell>
          <cell r="D146" t="str">
            <v>JE# ZZ14  Def Hist - Customer Deposits a/c 238010</v>
          </cell>
          <cell r="E146">
            <v>238010</v>
          </cell>
          <cell r="F146" t="str">
            <v>A7</v>
          </cell>
          <cell r="G146" t="str">
            <v>C</v>
          </cell>
          <cell r="H146" t="str">
            <v>JE#  ZZ14  Def Hist - Customer Deposits a/c 238010</v>
          </cell>
        </row>
        <row r="147">
          <cell r="A147" t="str">
            <v>ZZ15</v>
          </cell>
          <cell r="B147" t="str">
            <v>JE#  ZZ15  Def Hist - Unclaimed Cus Dep - a/c 238020</v>
          </cell>
          <cell r="C147" t="str">
            <v>JE  ZZ15  Def Hist - Unclaimed Cus Dep - a/c 238020</v>
          </cell>
          <cell r="D147" t="str">
            <v>JE# ZZ15  Def Hist - Unclaimed Cus Dep - a/c 238020</v>
          </cell>
          <cell r="E147">
            <v>238020</v>
          </cell>
          <cell r="F147" t="str">
            <v>A7</v>
          </cell>
          <cell r="G147" t="str">
            <v>C</v>
          </cell>
          <cell r="H147" t="str">
            <v>JE#  ZZ15  Def Hist - Unclaimed Cus Dep - a/c 238020</v>
          </cell>
        </row>
        <row r="148">
          <cell r="A148" t="str">
            <v>ZZ23</v>
          </cell>
          <cell r="B148" t="str">
            <v>JE#  ZZ23  Def Hist - Reg Pension a/c 262110</v>
          </cell>
          <cell r="C148" t="str">
            <v>JE  ZZ23  Def Hist - Reg Pension a/c 262110</v>
          </cell>
          <cell r="D148" t="str">
            <v>JE# ZZ23  Def Hist - Reg Pension a/c 262110</v>
          </cell>
          <cell r="E148">
            <v>262110</v>
          </cell>
          <cell r="F148" t="str">
            <v>A5</v>
          </cell>
          <cell r="G148" t="str">
            <v>NC</v>
          </cell>
          <cell r="H148" t="str">
            <v>JE#  ZZ23  Def Hist - Reg Pension a/c 262110</v>
          </cell>
        </row>
        <row r="149">
          <cell r="A149" t="str">
            <v>ZZ24</v>
          </cell>
          <cell r="B149" t="str">
            <v>JE#  ZZ24  Def Hist - Reg Pension AWWS a/c 262111</v>
          </cell>
          <cell r="C149" t="str">
            <v>JE  ZZ24  Def Hist - Reg Pension AWWS a/c 262111</v>
          </cell>
          <cell r="D149" t="str">
            <v>JE# ZZ24  Def Hist - Reg Pension AWWS a/c 262111</v>
          </cell>
          <cell r="E149">
            <v>262111</v>
          </cell>
          <cell r="F149" t="str">
            <v>A5</v>
          </cell>
          <cell r="G149" t="str">
            <v>NC</v>
          </cell>
          <cell r="H149" t="str">
            <v>JE#  ZZ24  Def Hist - Reg Pension AWWS a/c 262111</v>
          </cell>
        </row>
        <row r="150">
          <cell r="A150" t="str">
            <v>ZZ25</v>
          </cell>
          <cell r="B150" t="str">
            <v>JE#  ZZ25  Def Hist - Supplemental Pension a/c 262140</v>
          </cell>
          <cell r="C150" t="str">
            <v>JE  ZZ25  Def Hist - Supplemental Pension a/c 262140</v>
          </cell>
          <cell r="D150" t="str">
            <v>JE# ZZ25  Def Hist - Supplemental Pension a/c 262140</v>
          </cell>
          <cell r="E150">
            <v>262140</v>
          </cell>
          <cell r="F150" t="str">
            <v>A5</v>
          </cell>
          <cell r="G150" t="str">
            <v>NC</v>
          </cell>
          <cell r="H150" t="str">
            <v>JE#  ZZ25  Def Hist - Supplemental Pension a/c 262140</v>
          </cell>
        </row>
        <row r="151">
          <cell r="A151" t="str">
            <v>ZZ26</v>
          </cell>
          <cell r="B151" t="str">
            <v>JE#  ZZ26  Def Hist - Def Comp Incentive Plan a/c 262317</v>
          </cell>
          <cell r="C151" t="str">
            <v>JE  ZZ26  Def Hist - Def Comp Incentive Plan a/c 262317</v>
          </cell>
          <cell r="D151" t="str">
            <v>JE# ZZ26  Def Hist - Def Comp Incentive Plan a/c 262317</v>
          </cell>
          <cell r="E151">
            <v>262317</v>
          </cell>
          <cell r="F151" t="str">
            <v>A7</v>
          </cell>
          <cell r="G151" t="str">
            <v>NC</v>
          </cell>
          <cell r="H151" t="str">
            <v>JE#  ZZ26  Def Hist - Def Comp Incentive Plan a/c 262317</v>
          </cell>
        </row>
        <row r="152">
          <cell r="A152" t="str">
            <v>ZZ27</v>
          </cell>
          <cell r="B152" t="str">
            <v>JE#  ZZ27  Def Hist - Other Deferred Cr Analyzed a/c 262000</v>
          </cell>
          <cell r="C152" t="str">
            <v>JE  ZZ27  Def Hist - Other Deferred Cr Analyzed a/c 262000</v>
          </cell>
          <cell r="D152" t="str">
            <v>JE# ZZ27  Def Hist - Other Deferred Cr Analyzed a/c 262000</v>
          </cell>
          <cell r="E152">
            <v>262000</v>
          </cell>
          <cell r="F152" t="str">
            <v>L5</v>
          </cell>
          <cell r="G152" t="str">
            <v>NC</v>
          </cell>
          <cell r="H152" t="str">
            <v>JE#  ZZ27  Def Hist - Other Deferred Cr Analyzed a/c 262000</v>
          </cell>
        </row>
        <row r="153">
          <cell r="A153" t="str">
            <v>ZZ28</v>
          </cell>
          <cell r="B153" t="str">
            <v>JE#  ZZ28  Def Hist - Other Assets Analyzed a/c 186000</v>
          </cell>
          <cell r="C153" t="str">
            <v>JE  ZZ28  Def Hist - Other Assets Analyzed a/c 186000</v>
          </cell>
          <cell r="D153" t="str">
            <v>JE# ZZ28  Def Hist - Other Assets Analyzed a/c 186000</v>
          </cell>
          <cell r="E153">
            <v>186000</v>
          </cell>
          <cell r="F153" t="str">
            <v>L5</v>
          </cell>
          <cell r="G153" t="str">
            <v>NC</v>
          </cell>
          <cell r="H153" t="str">
            <v>JE#  ZZ28  Def Hist - Other Assets Analyzed a/c 186000</v>
          </cell>
        </row>
        <row r="154">
          <cell r="A154" t="str">
            <v>ZZ29</v>
          </cell>
          <cell r="B154" t="str">
            <v>JE#  ZZ29  Def Hist - Nonutility Property-Land a/c 121100</v>
          </cell>
          <cell r="C154" t="str">
            <v>JE  ZZ29  Def Hist - Nonutility Property-Land a/c 121100</v>
          </cell>
          <cell r="D154" t="str">
            <v>JE# ZZ29  Def Hist - Nonutility Property-Land a/c 121100</v>
          </cell>
          <cell r="E154">
            <v>121100</v>
          </cell>
          <cell r="F154" t="str">
            <v>L5</v>
          </cell>
          <cell r="G154" t="str">
            <v>NC</v>
          </cell>
          <cell r="H154" t="str">
            <v>JE#  ZZ29  Def Hist - Nonutility Property-Land a/c 121100</v>
          </cell>
        </row>
        <row r="155">
          <cell r="A155" t="str">
            <v>ZZ30</v>
          </cell>
          <cell r="B155" t="str">
            <v>JE#  ZZ30  Def Hist - Accum Amort-CIAC a/c 272000</v>
          </cell>
          <cell r="C155" t="str">
            <v>JE  ZZ30  Def Hist - Accum Amort-CIAC a/c 272000</v>
          </cell>
          <cell r="D155" t="str">
            <v>JE# ZZ30  Def Hist - Accum Amort-CIAC a/c 272000</v>
          </cell>
          <cell r="E155">
            <v>272000</v>
          </cell>
          <cell r="F155" t="str">
            <v>A7</v>
          </cell>
          <cell r="G155" t="str">
            <v>NC</v>
          </cell>
          <cell r="H155" t="str">
            <v>JE#  ZZ30  Def Hist - Accum Amort-CIAC a/c 272000</v>
          </cell>
        </row>
        <row r="156">
          <cell r="A156" t="str">
            <v>ZZ32</v>
          </cell>
          <cell r="B156" t="str">
            <v>JE#  ZZ32  Def Hist - CIAC-Taxable SIT a/c 271300</v>
          </cell>
          <cell r="C156" t="str">
            <v>JE  ZZ32  Def Hist - CIAC-Taxable SIT a/c 271300</v>
          </cell>
          <cell r="D156" t="str">
            <v>JE# ZZ32  Def Hist - CIAC-Taxable SIT a/c 271300</v>
          </cell>
          <cell r="E156">
            <v>271300</v>
          </cell>
          <cell r="F156" t="str">
            <v>A7</v>
          </cell>
          <cell r="G156" t="str">
            <v>NC</v>
          </cell>
          <cell r="H156" t="str">
            <v>JE#  ZZ32  Def Hist - CIAC-Taxable SIT a/c 271300</v>
          </cell>
        </row>
        <row r="157">
          <cell r="A157" t="str">
            <v>ZZ33</v>
          </cell>
          <cell r="B157" t="str">
            <v>JE#  ZZ33 Def Hist - Curr Def SIT/LIT a/c 236320</v>
          </cell>
          <cell r="C157" t="str">
            <v>JE  ZZ33  Def Hist - Curr Def SIT/LIT a/c 236320</v>
          </cell>
          <cell r="D157" t="str">
            <v>JE# ZZ33 Def Hist - Curr Def SIT/LIT a/c 236320</v>
          </cell>
          <cell r="E157">
            <v>236320</v>
          </cell>
          <cell r="F157" t="str">
            <v>L5</v>
          </cell>
          <cell r="G157" t="str">
            <v>NC</v>
          </cell>
          <cell r="H157" t="str">
            <v>JE#  ZZ33  Def Hist - Curr Def SIT/LIT a/c 236320</v>
          </cell>
        </row>
        <row r="158">
          <cell r="A158" t="str">
            <v>ZZ34</v>
          </cell>
          <cell r="B158" t="str">
            <v>JE#  ZZ34 Def Hist - Noncurrent Def SIT/LIT a/c 253220</v>
          </cell>
          <cell r="C158" t="str">
            <v>JE  ZZ34  Def Hist - Noncurrent Def SIT/LIT a/c 253220</v>
          </cell>
          <cell r="D158" t="str">
            <v>JE# ZZ34 Def Hist - Noncurrent Def SIT/LIT a/c 253220</v>
          </cell>
          <cell r="E158">
            <v>253220</v>
          </cell>
          <cell r="F158" t="str">
            <v>L5</v>
          </cell>
          <cell r="G158" t="str">
            <v>NC</v>
          </cell>
          <cell r="H158" t="str">
            <v>JE#  ZZ34  Def Hist - Noncurrent Def SIT/LIT a/c 253220</v>
          </cell>
        </row>
        <row r="159">
          <cell r="A159" t="str">
            <v>ZZ35</v>
          </cell>
          <cell r="B159" t="str">
            <v>JE#  ZZ35  Def Hist - Acc Amort-CIAC Taxable a/c 272100</v>
          </cell>
          <cell r="C159" t="str">
            <v>JE  ZZ35  Def Hist - Acc Amort-CIAC Taxable a/c 272100</v>
          </cell>
          <cell r="D159" t="str">
            <v>JE# ZZ35  Def Hist - Acc Amort-CIAC Taxable a/c 272100</v>
          </cell>
          <cell r="E159">
            <v>272100</v>
          </cell>
          <cell r="F159" t="str">
            <v>A7</v>
          </cell>
          <cell r="G159" t="str">
            <v>NC</v>
          </cell>
          <cell r="H159" t="str">
            <v>JE#  ZZ35  Def Hist - Acc Amort-CIAC Taxable a/c 272100</v>
          </cell>
        </row>
        <row r="160">
          <cell r="A160" t="str">
            <v>ZZ36</v>
          </cell>
          <cell r="B160" t="str">
            <v>JE#  ZZ36  Def Hist - Accum Amort UPAA - a/c 115000</v>
          </cell>
          <cell r="C160" t="str">
            <v>JE  ZZ36  Def Hist - Accum Amort UPAA - a/c 115000</v>
          </cell>
          <cell r="D160" t="str">
            <v>JE# ZZ36  Def Hist - Accum Amort UPAA - a/c 115000</v>
          </cell>
          <cell r="E160">
            <v>115000</v>
          </cell>
          <cell r="F160" t="str">
            <v>L5</v>
          </cell>
          <cell r="G160" t="str">
            <v>NC</v>
          </cell>
          <cell r="H160" t="str">
            <v>JE#  ZZ36  Def Hist - Accum Amort UPAA - a/c 115000</v>
          </cell>
        </row>
        <row r="161">
          <cell r="A161" t="str">
            <v>ZZ37</v>
          </cell>
          <cell r="B161" t="str">
            <v>JE#  ZZ37  Def Hist - Uncollectible Accounts - a/c 143000</v>
          </cell>
          <cell r="C161" t="str">
            <v>JE  ZZ37  Def Hist - Uncollectible Accounts - a/c 143000</v>
          </cell>
          <cell r="D161" t="str">
            <v>JE# ZZ37  Def Hist - Uncollectible Accounts - a/c 143000</v>
          </cell>
          <cell r="E161">
            <v>143000</v>
          </cell>
          <cell r="F161" t="str">
            <v>A7</v>
          </cell>
          <cell r="G161" t="str">
            <v>C</v>
          </cell>
          <cell r="H161" t="str">
            <v>JE#  ZZ37  Def Hist - Uncollectible Accounts - a/c 143000</v>
          </cell>
        </row>
        <row r="162">
          <cell r="A162" t="str">
            <v>ZZ38</v>
          </cell>
          <cell r="B162" t="str">
            <v>JE#  ZZ38  Def Hist - Group Insurance - a/c 877205</v>
          </cell>
          <cell r="C162" t="str">
            <v>JE  ZZ38  Def Hist - Group Insurance - a/c 877205</v>
          </cell>
          <cell r="D162" t="str">
            <v>JE# ZZ38  Def Hist - Group Insurance - a/c 877205</v>
          </cell>
          <cell r="E162">
            <v>241200</v>
          </cell>
          <cell r="F162" t="str">
            <v>L5</v>
          </cell>
          <cell r="G162" t="str">
            <v>NC</v>
          </cell>
          <cell r="H162" t="str">
            <v>JE#  ZZ38  Def Hist - Group Insurance - a/c 877205</v>
          </cell>
        </row>
        <row r="163">
          <cell r="A163" t="str">
            <v>ZZ39</v>
          </cell>
          <cell r="B163" t="str">
            <v>JE#  ZZ39  Def Hist - Incentive Plan-Stock - a/c 262318</v>
          </cell>
          <cell r="C163" t="str">
            <v>JE  ZZ39  Def Hist - Incentive Plan-Stock - a/c 262318</v>
          </cell>
          <cell r="D163" t="str">
            <v>JE# ZZ39  Def Hist - Incentive Plan-Stock - a/c 262318</v>
          </cell>
          <cell r="E163">
            <v>262318</v>
          </cell>
          <cell r="F163" t="str">
            <v>A7</v>
          </cell>
          <cell r="G163" t="str">
            <v>NC</v>
          </cell>
          <cell r="H163" t="str">
            <v>JE#  ZZ39  Def Hist - Incentive Plan-Stock - a/c 262318</v>
          </cell>
        </row>
        <row r="164">
          <cell r="A164" t="str">
            <v>ZZ40</v>
          </cell>
          <cell r="B164" t="str">
            <v>JE#  ZZ40  Def Hist - Rate Case Expense - a/c 182000</v>
          </cell>
          <cell r="C164" t="str">
            <v>JE  ZZ40  Def Hist - Rate Case Expense - a/c 182000</v>
          </cell>
          <cell r="D164" t="str">
            <v>JE# ZZ40  Def Hist - Rate Case Expense - a/c 182000</v>
          </cell>
          <cell r="E164">
            <v>182000</v>
          </cell>
          <cell r="F164" t="str">
            <v>L5</v>
          </cell>
          <cell r="G164" t="str">
            <v>NC</v>
          </cell>
          <cell r="H164" t="str">
            <v>JE#  ZZ40  Def Hist - Rate Case Expense - a/c 182000</v>
          </cell>
        </row>
        <row r="165">
          <cell r="A165" t="str">
            <v>ZZ41</v>
          </cell>
          <cell r="B165" t="str">
            <v>JE#  ZZ41  Def Hist-Purchased Water Outside a/c-186412</v>
          </cell>
          <cell r="C165" t="str">
            <v>JE  ZZ41  Def Hist-Purchased Water Outside a/c-186412</v>
          </cell>
          <cell r="D165" t="str">
            <v>JE# ZZ41  Def Hist-Purchased Water Outside a/c-186412</v>
          </cell>
          <cell r="E165">
            <v>186412</v>
          </cell>
          <cell r="F165" t="str">
            <v>L5</v>
          </cell>
          <cell r="G165" t="str">
            <v>NC</v>
          </cell>
          <cell r="H165" t="str">
            <v>JE#  ZZ41  Def Hist-Purchased Water Outside a/c-186412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9"/>
  <sheetViews>
    <sheetView tabSelected="1" view="pageBreakPreview" zoomScale="60" zoomScaleNormal="100" workbookViewId="0">
      <pane xSplit="3" ySplit="8" topLeftCell="Q270" activePane="bottomRight" state="frozen"/>
      <selection activeCell="S283" sqref="S283"/>
      <selection pane="topRight" activeCell="S283" sqref="S283"/>
      <selection pane="bottomLeft" activeCell="S283" sqref="S283"/>
      <selection pane="bottomRight" activeCell="S283" sqref="S283"/>
    </sheetView>
  </sheetViews>
  <sheetFormatPr defaultColWidth="8.85546875" defaultRowHeight="13.5"/>
  <cols>
    <col min="1" max="1" width="11" style="10" customWidth="1"/>
    <col min="2" max="2" width="50.7109375" style="10" bestFit="1" customWidth="1"/>
    <col min="3" max="5" width="11.28515625" style="54" customWidth="1"/>
    <col min="6" max="6" width="15.28515625" style="160" customWidth="1"/>
    <col min="7" max="19" width="15.7109375" style="10" customWidth="1"/>
    <col min="20" max="20" width="4.7109375" style="10" customWidth="1"/>
    <col min="21" max="22" width="12.7109375" style="10" customWidth="1"/>
    <col min="23" max="23" width="13.7109375" style="10" customWidth="1"/>
    <col min="24" max="24" width="2.28515625" style="10" bestFit="1" customWidth="1"/>
    <col min="25" max="25" width="18.7109375" style="10" customWidth="1"/>
    <col min="26" max="26" width="7.7109375" style="10" bestFit="1" customWidth="1"/>
    <col min="27" max="16384" width="8.85546875" style="10"/>
  </cols>
  <sheetData>
    <row r="1" spans="1:26" ht="15.75" thickBot="1">
      <c r="A1" s="1"/>
      <c r="B1" s="2"/>
      <c r="C1" s="3"/>
      <c r="D1" s="3"/>
      <c r="E1" s="3"/>
      <c r="F1" s="4"/>
      <c r="G1" s="5" t="s">
        <v>0</v>
      </c>
      <c r="H1" s="6"/>
      <c r="I1" s="6"/>
      <c r="J1" s="6"/>
      <c r="K1" s="6"/>
      <c r="L1" s="6"/>
      <c r="M1" s="6"/>
      <c r="N1" s="7"/>
      <c r="O1" s="8"/>
      <c r="P1" s="8"/>
      <c r="Q1" s="8"/>
      <c r="R1" s="8"/>
      <c r="S1" s="9"/>
      <c r="U1" s="304" t="s">
        <v>1</v>
      </c>
      <c r="V1" s="304"/>
      <c r="W1" s="304"/>
      <c r="Z1" s="11">
        <f>SUM(Z4:Z287)</f>
        <v>0</v>
      </c>
    </row>
    <row r="2" spans="1:26" ht="14.25" thickBot="1">
      <c r="A2" s="12"/>
      <c r="B2" s="2"/>
      <c r="C2" s="3"/>
      <c r="D2" s="3"/>
      <c r="E2" s="3"/>
      <c r="F2" s="4"/>
      <c r="G2" s="13" t="s">
        <v>2</v>
      </c>
      <c r="H2" s="14" t="s">
        <v>3</v>
      </c>
      <c r="I2" s="14" t="s">
        <v>4</v>
      </c>
      <c r="J2" s="14" t="s">
        <v>4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7</v>
      </c>
      <c r="P2" s="14" t="s">
        <v>7</v>
      </c>
      <c r="Q2" s="15" t="s">
        <v>7</v>
      </c>
      <c r="R2" s="15" t="s">
        <v>8</v>
      </c>
      <c r="S2" s="16" t="s">
        <v>9</v>
      </c>
      <c r="U2" s="17" t="s">
        <v>9</v>
      </c>
      <c r="V2" s="18" t="s">
        <v>9</v>
      </c>
      <c r="W2" s="19" t="s">
        <v>10</v>
      </c>
      <c r="Z2" s="11"/>
    </row>
    <row r="3" spans="1:26" ht="15.75" thickBot="1">
      <c r="A3" s="304" t="s">
        <v>11</v>
      </c>
      <c r="B3" s="304"/>
      <c r="C3" s="3"/>
      <c r="D3" s="20" t="s">
        <v>12</v>
      </c>
      <c r="E3" s="21">
        <v>1012</v>
      </c>
      <c r="F3" s="4"/>
      <c r="G3" s="22" t="s">
        <v>13</v>
      </c>
      <c r="H3" s="23" t="s">
        <v>14</v>
      </c>
      <c r="I3" s="23" t="s">
        <v>2</v>
      </c>
      <c r="J3" s="23" t="s">
        <v>2</v>
      </c>
      <c r="K3" s="23"/>
      <c r="L3" s="23" t="s">
        <v>16</v>
      </c>
      <c r="M3" s="23" t="s">
        <v>2</v>
      </c>
      <c r="N3" s="23" t="s">
        <v>17</v>
      </c>
      <c r="O3" s="23" t="s">
        <v>18</v>
      </c>
      <c r="P3" s="23" t="s">
        <v>19</v>
      </c>
      <c r="Q3" s="24" t="s">
        <v>20</v>
      </c>
      <c r="R3" s="24" t="s">
        <v>21</v>
      </c>
      <c r="S3" s="25" t="s">
        <v>13</v>
      </c>
      <c r="U3" s="17" t="s">
        <v>22</v>
      </c>
      <c r="V3" s="18" t="s">
        <v>22</v>
      </c>
      <c r="W3" s="26" t="s">
        <v>9</v>
      </c>
      <c r="Z3" s="11"/>
    </row>
    <row r="4" spans="1:26">
      <c r="A4" s="27" t="s">
        <v>23</v>
      </c>
      <c r="B4" s="28" t="s">
        <v>24</v>
      </c>
      <c r="C4" s="3"/>
      <c r="D4" s="3"/>
      <c r="E4" s="3"/>
      <c r="F4" s="4"/>
      <c r="G4" s="29" t="s">
        <v>4</v>
      </c>
      <c r="H4" s="23" t="s">
        <v>25</v>
      </c>
      <c r="I4" s="23" t="s">
        <v>13</v>
      </c>
      <c r="J4" s="23" t="s">
        <v>13</v>
      </c>
      <c r="K4" s="23" t="s">
        <v>26</v>
      </c>
      <c r="L4" s="23" t="s">
        <v>27</v>
      </c>
      <c r="M4" s="23" t="s">
        <v>13</v>
      </c>
      <c r="N4" s="23"/>
      <c r="O4" s="23" t="s">
        <v>28</v>
      </c>
      <c r="P4" s="23" t="s">
        <v>28</v>
      </c>
      <c r="Q4" s="24" t="s">
        <v>29</v>
      </c>
      <c r="R4" s="24" t="s">
        <v>29</v>
      </c>
      <c r="S4" s="25" t="s">
        <v>4</v>
      </c>
      <c r="U4" s="17" t="s">
        <v>30</v>
      </c>
      <c r="V4" s="18" t="s">
        <v>31</v>
      </c>
      <c r="W4" s="26" t="s">
        <v>22</v>
      </c>
      <c r="Z4" s="11"/>
    </row>
    <row r="5" spans="1:26" ht="14.25" thickBot="1">
      <c r="A5" s="30" t="s">
        <v>32</v>
      </c>
      <c r="B5" s="31" t="s">
        <v>33</v>
      </c>
      <c r="C5" s="3"/>
      <c r="D5" s="3" t="s">
        <v>34</v>
      </c>
      <c r="E5" s="3">
        <f>HLOOKUP(E3,'[1]Current Provision - HYP'!$E$7:$BP$9,3,FALSE)</f>
        <v>18</v>
      </c>
      <c r="F5" s="4"/>
      <c r="G5" s="32"/>
      <c r="H5" s="23" t="s">
        <v>35</v>
      </c>
      <c r="I5" s="23" t="s">
        <v>36</v>
      </c>
      <c r="J5" s="23" t="s">
        <v>37</v>
      </c>
      <c r="K5" s="23" t="s">
        <v>29</v>
      </c>
      <c r="L5" s="23" t="s">
        <v>29</v>
      </c>
      <c r="M5" s="23"/>
      <c r="N5" s="23"/>
      <c r="O5" s="23"/>
      <c r="P5" s="23"/>
      <c r="Q5" s="24"/>
      <c r="R5" s="24"/>
      <c r="S5" s="25"/>
      <c r="U5" s="17" t="s">
        <v>38</v>
      </c>
      <c r="V5" s="18" t="s">
        <v>39</v>
      </c>
      <c r="W5" s="26" t="s">
        <v>31</v>
      </c>
      <c r="Z5" s="11"/>
    </row>
    <row r="6" spans="1:26" ht="14.25" thickBot="1">
      <c r="A6" s="30" t="s">
        <v>40</v>
      </c>
      <c r="B6" s="31">
        <v>41274</v>
      </c>
      <c r="C6" s="3"/>
      <c r="D6" s="3"/>
      <c r="E6" s="3"/>
      <c r="F6" s="4"/>
      <c r="G6" s="32"/>
      <c r="H6" s="23" t="s">
        <v>41</v>
      </c>
      <c r="I6" s="23"/>
      <c r="J6" s="23"/>
      <c r="K6" s="23"/>
      <c r="L6" s="23"/>
      <c r="M6" s="23"/>
      <c r="N6" s="23"/>
      <c r="O6" s="23"/>
      <c r="P6" s="23"/>
      <c r="Q6" s="24"/>
      <c r="R6" s="24"/>
      <c r="S6" s="25"/>
      <c r="U6" s="33" t="s">
        <v>42</v>
      </c>
      <c r="V6" s="34"/>
      <c r="W6" s="35" t="s">
        <v>43</v>
      </c>
      <c r="Z6" s="11"/>
    </row>
    <row r="7" spans="1:26" ht="15">
      <c r="A7" s="304" t="s">
        <v>44</v>
      </c>
      <c r="B7" s="304"/>
      <c r="C7" s="36" t="s">
        <v>45</v>
      </c>
      <c r="D7" s="37" t="s">
        <v>46</v>
      </c>
      <c r="E7" s="37" t="s">
        <v>47</v>
      </c>
      <c r="F7" s="38" t="s">
        <v>48</v>
      </c>
      <c r="G7" s="39" t="s">
        <v>49</v>
      </c>
      <c r="H7" s="39" t="s">
        <v>49</v>
      </c>
      <c r="I7" s="40" t="s">
        <v>50</v>
      </c>
      <c r="J7" s="41" t="s">
        <v>51</v>
      </c>
      <c r="K7" s="41" t="s">
        <v>51</v>
      </c>
      <c r="L7" s="41"/>
      <c r="M7" s="41" t="s">
        <v>49</v>
      </c>
      <c r="N7" s="41" t="s">
        <v>49</v>
      </c>
      <c r="O7" s="41"/>
      <c r="P7" s="41"/>
      <c r="Q7" s="42"/>
      <c r="R7" s="42" t="s">
        <v>51</v>
      </c>
      <c r="S7" s="43"/>
      <c r="U7" s="304" t="s">
        <v>52</v>
      </c>
      <c r="V7" s="304"/>
      <c r="W7" s="304"/>
      <c r="Z7" s="11"/>
    </row>
    <row r="8" spans="1:26" ht="15.75" thickBot="1">
      <c r="A8" s="44" t="s">
        <v>53</v>
      </c>
      <c r="B8" s="45" t="s">
        <v>54</v>
      </c>
      <c r="C8" s="46" t="s">
        <v>55</v>
      </c>
      <c r="D8" s="304" t="s">
        <v>56</v>
      </c>
      <c r="E8" s="304"/>
      <c r="F8" s="47" t="s">
        <v>57</v>
      </c>
      <c r="G8" s="48" t="s">
        <v>58</v>
      </c>
      <c r="H8" s="48" t="s">
        <v>59</v>
      </c>
      <c r="I8" s="49" t="s">
        <v>60</v>
      </c>
      <c r="J8" s="50" t="s">
        <v>61</v>
      </c>
      <c r="K8" s="50" t="s">
        <v>61</v>
      </c>
      <c r="L8" s="50" t="s">
        <v>62</v>
      </c>
      <c r="M8" s="50" t="s">
        <v>63</v>
      </c>
      <c r="N8" s="50" t="s">
        <v>64</v>
      </c>
      <c r="O8" s="50"/>
      <c r="P8" s="50"/>
      <c r="Q8" s="51"/>
      <c r="R8" s="51" t="s">
        <v>61</v>
      </c>
      <c r="S8" s="52"/>
      <c r="U8" s="53">
        <f>G309</f>
        <v>0.38899999999999996</v>
      </c>
      <c r="V8" s="304" t="s">
        <v>65</v>
      </c>
      <c r="W8" s="304"/>
      <c r="Z8" s="11"/>
    </row>
    <row r="9" spans="1:26">
      <c r="F9" s="55"/>
      <c r="G9" s="1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56"/>
      <c r="V9" s="56"/>
      <c r="W9" s="57"/>
      <c r="Z9" s="11"/>
    </row>
    <row r="10" spans="1:26">
      <c r="A10" s="305" t="s">
        <v>66</v>
      </c>
      <c r="B10" s="305"/>
      <c r="C10" s="305"/>
      <c r="D10" s="305"/>
      <c r="E10" s="305"/>
      <c r="F10" s="4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58"/>
      <c r="V10" s="58"/>
      <c r="W10" s="57"/>
      <c r="Z10" s="11"/>
    </row>
    <row r="11" spans="1:26">
      <c r="A11" s="57" t="s">
        <v>67</v>
      </c>
      <c r="B11" s="59" t="str">
        <f>IF(ISNA(VLOOKUP($A11,'[1]Coding (Do not delete)'!$A$7:$K$656,3,FALSE))=TRUE,0,VLOOKUP($A11,'[1]Coding (Do not delete)'!$A$7:$K$656,8,FALSE))</f>
        <v>JE#  T220  JV Gain/Loss</v>
      </c>
      <c r="C11" s="3">
        <f>IF(ISNA(VLOOKUP($A11,'[1]Coding (Do not delete)'!$A$7:$K$656,5,FALSE))=TRUE,0,VLOOKUP($A11,'[1]Coding (Do not delete)'!$A$7:$K$656,5,FALSE))</f>
        <v>108000</v>
      </c>
      <c r="D11" s="3" t="s">
        <v>68</v>
      </c>
      <c r="E11" s="3" t="s">
        <v>69</v>
      </c>
      <c r="F11" s="60" t="s">
        <v>70</v>
      </c>
      <c r="G11" s="61">
        <v>0</v>
      </c>
      <c r="H11" s="56">
        <v>0</v>
      </c>
      <c r="I11" s="56"/>
      <c r="J11" s="56">
        <v>0</v>
      </c>
      <c r="K11" s="56">
        <v>0</v>
      </c>
      <c r="L11" s="56">
        <v>0</v>
      </c>
      <c r="M11" s="61">
        <f t="shared" ref="M11:M31" si="0">SUM(G11:L11)</f>
        <v>0</v>
      </c>
      <c r="N11" s="56">
        <f>IF(ISNA(VLOOKUP($B11,'[1]Current Provision - HYP'!$A$10:$BP$201,$E$5,FALSE))=TRUE,0,VLOOKUP($B11,'[1]Current Provision - HYP'!$A$10:$BP$201,$E$5,FALSE))</f>
        <v>0</v>
      </c>
      <c r="O11" s="56">
        <v>0</v>
      </c>
      <c r="P11" s="58">
        <v>0</v>
      </c>
      <c r="Q11" s="58">
        <v>0</v>
      </c>
      <c r="R11" s="58">
        <v>0</v>
      </c>
      <c r="S11" s="61">
        <f>SUM(M11:R11)</f>
        <v>0</v>
      </c>
      <c r="T11" s="58"/>
      <c r="U11" s="63">
        <f t="shared" ref="U11:U31" si="1">IF(S11&gt;0,S11*$G$309,0)</f>
        <v>0</v>
      </c>
      <c r="V11" s="56">
        <f t="shared" ref="V11:V31" si="2">IF(S11&lt;0,-S11*$G$309,0)</f>
        <v>0</v>
      </c>
      <c r="W11" s="64">
        <f t="shared" ref="W11:W31" si="3">U11-V11</f>
        <v>0</v>
      </c>
      <c r="Z11" s="11">
        <f t="shared" ref="Z11:Z31" si="4">SUM(M11:R11)-S11</f>
        <v>0</v>
      </c>
    </row>
    <row r="12" spans="1:26">
      <c r="A12" s="57" t="s">
        <v>71</v>
      </c>
      <c r="B12" s="59" t="str">
        <f>IF(ISNA(VLOOKUP($A12,'[1]Coding (Do not delete)'!$A$7:$K$656,3,FALSE))=TRUE,0,VLOOKUP($A12,'[1]Coding (Do not delete)'!$A$7:$K$656,8,FALSE))</f>
        <v>JE#  T005  Uncollectible Accounts</v>
      </c>
      <c r="C12" s="3">
        <f>IF(ISNA(VLOOKUP($A12,'[1]Coding (Do not delete)'!$A$7:$K$656,5,FALSE))=TRUE,0,VLOOKUP($A12,'[1]Coding (Do not delete)'!$A$7:$K$656,5,FALSE))</f>
        <v>143000</v>
      </c>
      <c r="D12" s="3" t="s">
        <v>68</v>
      </c>
      <c r="E12" s="3" t="s">
        <v>72</v>
      </c>
      <c r="F12" s="4"/>
      <c r="G12" s="61">
        <v>602067</v>
      </c>
      <c r="H12" s="56">
        <v>0</v>
      </c>
      <c r="I12" s="56"/>
      <c r="J12" s="56">
        <v>0</v>
      </c>
      <c r="K12" s="56">
        <v>0</v>
      </c>
      <c r="L12" s="56">
        <v>0</v>
      </c>
      <c r="M12" s="61">
        <f t="shared" si="0"/>
        <v>602067</v>
      </c>
      <c r="N12" s="56">
        <f>IF(ISNA(VLOOKUP($B12,'[1]Current Provision - HYP'!$A$10:$BP$201,$E$5,FALSE))=TRUE,0,VLOOKUP($B12,'[1]Current Provision - HYP'!$A$10:$BP$201,$E$5,FALSE))</f>
        <v>113258.49</v>
      </c>
      <c r="O12" s="56">
        <v>0</v>
      </c>
      <c r="P12" s="58">
        <v>0</v>
      </c>
      <c r="Q12" s="58">
        <v>0</v>
      </c>
      <c r="R12" s="58">
        <v>0</v>
      </c>
      <c r="S12" s="61">
        <f t="shared" ref="S12:S27" si="5">SUM(M12:R12)</f>
        <v>715325.49</v>
      </c>
      <c r="T12" s="56"/>
      <c r="U12" s="63">
        <f t="shared" si="1"/>
        <v>278261.61560999998</v>
      </c>
      <c r="V12" s="56">
        <f t="shared" si="2"/>
        <v>0</v>
      </c>
      <c r="W12" s="64">
        <f t="shared" si="3"/>
        <v>278261.61560999998</v>
      </c>
      <c r="Z12" s="11">
        <f t="shared" si="4"/>
        <v>0</v>
      </c>
    </row>
    <row r="13" spans="1:26">
      <c r="A13" s="57" t="s">
        <v>73</v>
      </c>
      <c r="B13" s="59" t="str">
        <f>IF(ISNA(VLOOKUP($A13,'[1]Coding (Do not delete)'!$A$7:$K$656,3,FALSE))=TRUE,0,VLOOKUP($A13,'[1]Coding (Do not delete)'!$A$7:$K$656,8,FALSE))</f>
        <v>JE#  Z022  Prov/Rtn Adjustment - Uncollectibles</v>
      </c>
      <c r="C13" s="65">
        <f>IF(ISNA(VLOOKUP($A13,'[1]Coding (Do not delete)'!$A$7:$K$656,5,FALSE))=TRUE,0,VLOOKUP($A13,'[1]Coding (Do not delete)'!$A$7:$K$656,5,FALSE))</f>
        <v>143000</v>
      </c>
      <c r="D13" s="3" t="s">
        <v>68</v>
      </c>
      <c r="E13" s="65" t="s">
        <v>72</v>
      </c>
      <c r="F13" s="66"/>
      <c r="G13" s="61">
        <v>0</v>
      </c>
      <c r="H13" s="56">
        <v>0</v>
      </c>
      <c r="I13" s="56"/>
      <c r="J13" s="56">
        <v>0</v>
      </c>
      <c r="K13" s="56">
        <v>0</v>
      </c>
      <c r="L13" s="56">
        <v>0</v>
      </c>
      <c r="M13" s="61">
        <f t="shared" si="0"/>
        <v>0</v>
      </c>
      <c r="N13" s="56">
        <f>IF(ISNA(VLOOKUP($B13,'[1]Current Provision - HYP'!$A$10:$BP$201,$E$5,FALSE))=TRUE,0,VLOOKUP($B13,'[1]Current Provision - HYP'!$A$10:$BP$201,$E$5,FALSE))</f>
        <v>0</v>
      </c>
      <c r="O13" s="56">
        <v>0</v>
      </c>
      <c r="P13" s="58">
        <v>0</v>
      </c>
      <c r="Q13" s="58">
        <v>0</v>
      </c>
      <c r="R13" s="58">
        <v>0</v>
      </c>
      <c r="S13" s="61">
        <f t="shared" si="5"/>
        <v>0</v>
      </c>
      <c r="T13" s="56"/>
      <c r="U13" s="63">
        <f t="shared" si="1"/>
        <v>0</v>
      </c>
      <c r="V13" s="56">
        <f t="shared" si="2"/>
        <v>0</v>
      </c>
      <c r="W13" s="64">
        <f t="shared" si="3"/>
        <v>0</v>
      </c>
      <c r="Z13" s="11">
        <f t="shared" si="4"/>
        <v>0</v>
      </c>
    </row>
    <row r="14" spans="1:26">
      <c r="A14" s="57" t="s">
        <v>74</v>
      </c>
      <c r="B14" s="59" t="str">
        <f>IF(ISNA(VLOOKUP($A14,'[1]Coding (Do not delete)'!$A$7:$K$656,3,FALSE))=TRUE,0,VLOOKUP($A14,'[1]Coding (Do not delete)'!$A$7:$K$656,8,FALSE))</f>
        <v>JE#  ZZ37  Def Hist - Uncollectible Accounts - a/c 143000</v>
      </c>
      <c r="C14" s="65">
        <f>IF(ISNA(VLOOKUP($A14,'[1]Coding (Do not delete)'!$A$7:$K$656,5,FALSE))=TRUE,0,VLOOKUP($A14,'[1]Coding (Do not delete)'!$A$7:$K$656,5,FALSE))</f>
        <v>143000</v>
      </c>
      <c r="D14" s="3" t="s">
        <v>68</v>
      </c>
      <c r="E14" s="65" t="s">
        <v>72</v>
      </c>
      <c r="F14" s="66"/>
      <c r="G14" s="61">
        <v>0</v>
      </c>
      <c r="H14" s="56">
        <v>0</v>
      </c>
      <c r="I14" s="56"/>
      <c r="J14" s="56">
        <v>0</v>
      </c>
      <c r="K14" s="56">
        <v>0</v>
      </c>
      <c r="L14" s="56">
        <v>0</v>
      </c>
      <c r="M14" s="61">
        <f t="shared" si="0"/>
        <v>0</v>
      </c>
      <c r="N14" s="56">
        <f>IF(ISNA(VLOOKUP($B14,'[1]Current Provision - HYP'!$A$10:$BP$201,$E$5,FALSE))=TRUE,0,VLOOKUP($B14,'[1]Current Provision - HYP'!$A$10:$BP$201,$E$5,FALSE))</f>
        <v>0</v>
      </c>
      <c r="O14" s="56">
        <v>0</v>
      </c>
      <c r="P14" s="58">
        <v>0</v>
      </c>
      <c r="Q14" s="58">
        <v>0</v>
      </c>
      <c r="R14" s="58">
        <v>0</v>
      </c>
      <c r="S14" s="61">
        <f t="shared" si="5"/>
        <v>0</v>
      </c>
      <c r="T14" s="56"/>
      <c r="U14" s="63">
        <f t="shared" si="1"/>
        <v>0</v>
      </c>
      <c r="V14" s="56">
        <f t="shared" si="2"/>
        <v>0</v>
      </c>
      <c r="W14" s="64">
        <f t="shared" si="3"/>
        <v>0</v>
      </c>
      <c r="Z14" s="11">
        <f t="shared" si="4"/>
        <v>0</v>
      </c>
    </row>
    <row r="15" spans="1:26">
      <c r="A15" s="57" t="s">
        <v>75</v>
      </c>
      <c r="B15" s="59" t="str">
        <f>IF(ISNA(VLOOKUP($A15,'[1]Coding (Do not delete)'!$A$7:$K$656,3,FALSE))=TRUE,0,VLOOKUP($A15,'[1]Coding (Do not delete)'!$A$7:$K$656,8,FALSE))</f>
        <v>JE#  T010  Vacation Pay</v>
      </c>
      <c r="C15" s="3">
        <f>IF(ISNA(VLOOKUP($A15,'[1]Coding (Do not delete)'!$A$7:$K$656,5,FALSE))=TRUE,0,VLOOKUP($A15,'[1]Coding (Do not delete)'!$A$7:$K$656,5,FALSE))</f>
        <v>174100</v>
      </c>
      <c r="D15" s="3" t="s">
        <v>76</v>
      </c>
      <c r="E15" s="3" t="s">
        <v>77</v>
      </c>
      <c r="F15" s="4"/>
      <c r="G15" s="61">
        <v>27854.024299999994</v>
      </c>
      <c r="H15" s="56">
        <v>1</v>
      </c>
      <c r="I15" s="56"/>
      <c r="J15" s="56">
        <v>0</v>
      </c>
      <c r="K15" s="56">
        <v>0</v>
      </c>
      <c r="L15" s="56">
        <v>0</v>
      </c>
      <c r="M15" s="61">
        <f t="shared" si="0"/>
        <v>27855.024299999994</v>
      </c>
      <c r="N15" s="56">
        <f>IF(ISNA(VLOOKUP($B15,'[1]Current Provision - HYP'!$A$10:$BP$201,$E$5,FALSE))=TRUE,0,VLOOKUP($B15,'[1]Current Provision - HYP'!$A$10:$BP$201,$E$5,FALSE))</f>
        <v>1252.6895833333333</v>
      </c>
      <c r="O15" s="56">
        <v>0</v>
      </c>
      <c r="P15" s="58">
        <v>0</v>
      </c>
      <c r="Q15" s="58">
        <v>0</v>
      </c>
      <c r="R15" s="58">
        <v>0</v>
      </c>
      <c r="S15" s="61">
        <f t="shared" si="5"/>
        <v>29107.713883333327</v>
      </c>
      <c r="T15" s="58"/>
      <c r="U15" s="63">
        <f t="shared" si="1"/>
        <v>11322.900700616663</v>
      </c>
      <c r="V15" s="56">
        <f t="shared" si="2"/>
        <v>0</v>
      </c>
      <c r="W15" s="64">
        <f t="shared" si="3"/>
        <v>11322.900700616663</v>
      </c>
      <c r="Z15" s="11">
        <f t="shared" si="4"/>
        <v>0</v>
      </c>
    </row>
    <row r="16" spans="1:26">
      <c r="A16" s="57" t="s">
        <v>78</v>
      </c>
      <c r="B16" s="59" t="str">
        <f>IF(ISNA(VLOOKUP($A16,'[1]Coding (Do not delete)'!$A$7:$K$656,3,FALSE))=TRUE,0,VLOOKUP($A16,'[1]Coding (Do not delete)'!$A$7:$K$656,8,FALSE))</f>
        <v>JE#  ZZ09  Def Hist - Vacation Pay a/c 174100</v>
      </c>
      <c r="C16" s="65">
        <f>IF(ISNA(VLOOKUP($A16,'[1]Coding (Do not delete)'!$A$7:$K$656,5,FALSE))=TRUE,0,VLOOKUP($A16,'[1]Coding (Do not delete)'!$A$7:$K$656,5,FALSE))</f>
        <v>174100</v>
      </c>
      <c r="D16" s="3" t="s">
        <v>76</v>
      </c>
      <c r="E16" s="65" t="s">
        <v>77</v>
      </c>
      <c r="F16" s="66"/>
      <c r="G16" s="61">
        <v>-38592</v>
      </c>
      <c r="H16" s="56">
        <v>0</v>
      </c>
      <c r="I16" s="56"/>
      <c r="J16" s="56">
        <v>0</v>
      </c>
      <c r="K16" s="56">
        <v>0</v>
      </c>
      <c r="L16" s="56">
        <v>0</v>
      </c>
      <c r="M16" s="61">
        <f t="shared" si="0"/>
        <v>-38592</v>
      </c>
      <c r="N16" s="56">
        <f>IF(ISNA(VLOOKUP($B16,'[1]Current Provision - HYP'!$A$10:$BP$201,$E$5,FALSE))=TRUE,0,VLOOKUP($B16,'[1]Current Provision - HYP'!$A$10:$BP$201,$E$5,FALSE))</f>
        <v>0</v>
      </c>
      <c r="O16" s="56">
        <v>0</v>
      </c>
      <c r="P16" s="58">
        <v>0</v>
      </c>
      <c r="Q16" s="58">
        <v>0</v>
      </c>
      <c r="R16" s="58">
        <v>0</v>
      </c>
      <c r="S16" s="61">
        <f t="shared" si="5"/>
        <v>-38592</v>
      </c>
      <c r="T16" s="56"/>
      <c r="U16" s="63">
        <f t="shared" si="1"/>
        <v>0</v>
      </c>
      <c r="V16" s="56">
        <f t="shared" si="2"/>
        <v>15012.287999999999</v>
      </c>
      <c r="W16" s="64">
        <f t="shared" si="3"/>
        <v>-15012.287999999999</v>
      </c>
      <c r="Z16" s="11">
        <f t="shared" si="4"/>
        <v>0</v>
      </c>
    </row>
    <row r="17" spans="1:26">
      <c r="A17" s="57" t="s">
        <v>79</v>
      </c>
      <c r="B17" s="59" t="str">
        <f>IF(ISNA(VLOOKUP($A17,'[1]Coding (Do not delete)'!$A$7:$K$656,3,FALSE))=TRUE,0,VLOOKUP($A17,'[1]Coding (Do not delete)'!$A$7:$K$656,8,FALSE))</f>
        <v>JE#  T215  DO NOT USE  after 2003 Foreign Interest-267 Adjustment</v>
      </c>
      <c r="C17" s="3">
        <f>IF(ISNA(VLOOKUP($A17,'[1]Coding (Do not delete)'!$A$7:$K$656,5,FALSE))=TRUE,0,VLOOKUP($A17,'[1]Coding (Do not delete)'!$A$7:$K$656,5,FALSE))</f>
        <v>210240</v>
      </c>
      <c r="D17" s="3" t="s">
        <v>68</v>
      </c>
      <c r="E17" s="3" t="s">
        <v>72</v>
      </c>
      <c r="F17" s="66"/>
      <c r="G17" s="61">
        <v>0</v>
      </c>
      <c r="H17" s="56">
        <v>0</v>
      </c>
      <c r="I17" s="56"/>
      <c r="J17" s="56">
        <v>0</v>
      </c>
      <c r="K17" s="56">
        <v>0</v>
      </c>
      <c r="L17" s="56">
        <v>0</v>
      </c>
      <c r="M17" s="61">
        <f t="shared" si="0"/>
        <v>0</v>
      </c>
      <c r="N17" s="56">
        <f>IF(ISNA(VLOOKUP($B17,'[1]Current Provision - HYP'!$A$10:$BP$201,$E$5,FALSE))=TRUE,0,VLOOKUP($B17,'[1]Current Provision - HYP'!$A$10:$BP$201,$E$5,FALSE))</f>
        <v>0</v>
      </c>
      <c r="O17" s="56">
        <v>0</v>
      </c>
      <c r="P17" s="58">
        <v>0</v>
      </c>
      <c r="Q17" s="58">
        <v>0</v>
      </c>
      <c r="R17" s="58">
        <v>0</v>
      </c>
      <c r="S17" s="61">
        <f t="shared" si="5"/>
        <v>0</v>
      </c>
      <c r="T17" s="58"/>
      <c r="U17" s="63">
        <f t="shared" si="1"/>
        <v>0</v>
      </c>
      <c r="V17" s="56">
        <f t="shared" si="2"/>
        <v>0</v>
      </c>
      <c r="W17" s="64">
        <f t="shared" si="3"/>
        <v>0</v>
      </c>
      <c r="Z17" s="11">
        <f t="shared" si="4"/>
        <v>0</v>
      </c>
    </row>
    <row r="18" spans="1:26">
      <c r="A18" s="57" t="s">
        <v>80</v>
      </c>
      <c r="B18" s="59" t="str">
        <f>IF(ISNA(VLOOKUP($A18,'[1]Coding (Do not delete)'!$A$7:$K$656,3,FALSE))=TRUE,0,VLOOKUP($A18,'[1]Coding (Do not delete)'!$A$7:$K$656,8,FALSE))</f>
        <v>JE#  T015  Customer Deposits</v>
      </c>
      <c r="C18" s="3">
        <f>IF(ISNA(VLOOKUP($A18,'[1]Coding (Do not delete)'!$A$7:$K$656,5,FALSE))=TRUE,0,VLOOKUP($A18,'[1]Coding (Do not delete)'!$A$7:$K$656,5,FALSE))</f>
        <v>238010</v>
      </c>
      <c r="D18" s="3" t="s">
        <v>68</v>
      </c>
      <c r="E18" s="3" t="s">
        <v>81</v>
      </c>
      <c r="F18" s="66"/>
      <c r="G18" s="61">
        <v>-45659</v>
      </c>
      <c r="H18" s="56">
        <v>0</v>
      </c>
      <c r="I18" s="56"/>
      <c r="J18" s="56">
        <v>0</v>
      </c>
      <c r="K18" s="56">
        <v>0</v>
      </c>
      <c r="L18" s="56">
        <v>0</v>
      </c>
      <c r="M18" s="61">
        <f t="shared" si="0"/>
        <v>-45659</v>
      </c>
      <c r="N18" s="56">
        <f>IF(ISNA(VLOOKUP($B18,'[1]Current Provision - HYP'!$A$10:$BP$201,$E$5,FALSE))=TRUE,0,VLOOKUP($B18,'[1]Current Provision - HYP'!$A$10:$BP$201,$E$5,FALSE))</f>
        <v>0</v>
      </c>
      <c r="O18" s="56">
        <v>0</v>
      </c>
      <c r="P18" s="58">
        <v>0</v>
      </c>
      <c r="Q18" s="58">
        <v>0</v>
      </c>
      <c r="R18" s="58">
        <v>0</v>
      </c>
      <c r="S18" s="61">
        <f t="shared" si="5"/>
        <v>-45659</v>
      </c>
      <c r="T18" s="58"/>
      <c r="U18" s="63">
        <f t="shared" si="1"/>
        <v>0</v>
      </c>
      <c r="V18" s="56">
        <f t="shared" si="2"/>
        <v>17761.350999999999</v>
      </c>
      <c r="W18" s="64">
        <f t="shared" si="3"/>
        <v>-17761.350999999999</v>
      </c>
      <c r="Z18" s="11">
        <f t="shared" si="4"/>
        <v>0</v>
      </c>
    </row>
    <row r="19" spans="1:26">
      <c r="A19" s="57" t="s">
        <v>82</v>
      </c>
      <c r="B19" s="59" t="str">
        <f>IF(ISNA(VLOOKUP($A19,'[1]Coding (Do not delete)'!$A$7:$K$656,3,FALSE))=TRUE,0,VLOOKUP($A19,'[1]Coding (Do not delete)'!$A$7:$K$656,8,FALSE))</f>
        <v>JE#  ZZ14  Def Hist - Customer Deposits a/c 238010</v>
      </c>
      <c r="C19" s="65">
        <f>IF(ISNA(VLOOKUP($A19,'[1]Coding (Do not delete)'!$A$7:$K$656,5,FALSE))=TRUE,0,VLOOKUP($A19,'[1]Coding (Do not delete)'!$A$7:$K$656,5,FALSE))</f>
        <v>238010</v>
      </c>
      <c r="D19" s="65" t="s">
        <v>68</v>
      </c>
      <c r="E19" s="65" t="s">
        <v>81</v>
      </c>
      <c r="F19" s="66"/>
      <c r="G19" s="61">
        <v>37050</v>
      </c>
      <c r="H19" s="56">
        <v>0</v>
      </c>
      <c r="I19" s="56"/>
      <c r="J19" s="56">
        <v>0</v>
      </c>
      <c r="K19" s="56">
        <v>0</v>
      </c>
      <c r="L19" s="56">
        <v>0</v>
      </c>
      <c r="M19" s="61">
        <f t="shared" si="0"/>
        <v>37050</v>
      </c>
      <c r="N19" s="56">
        <f>IF(ISNA(VLOOKUP($B19,'[1]Current Provision - HYP'!$A$10:$BP$201,$E$5,FALSE))=TRUE,0,VLOOKUP($B19,'[1]Current Provision - HYP'!$A$10:$BP$201,$E$5,FALSE))</f>
        <v>0</v>
      </c>
      <c r="O19" s="56">
        <v>0</v>
      </c>
      <c r="P19" s="58">
        <v>0</v>
      </c>
      <c r="Q19" s="58">
        <v>0</v>
      </c>
      <c r="R19" s="58">
        <v>0</v>
      </c>
      <c r="S19" s="61">
        <f t="shared" si="5"/>
        <v>37050</v>
      </c>
      <c r="T19" s="56"/>
      <c r="U19" s="63">
        <f t="shared" si="1"/>
        <v>14412.449999999999</v>
      </c>
      <c r="V19" s="56">
        <f t="shared" si="2"/>
        <v>0</v>
      </c>
      <c r="W19" s="64">
        <f t="shared" si="3"/>
        <v>14412.449999999999</v>
      </c>
      <c r="Z19" s="11">
        <f t="shared" si="4"/>
        <v>0</v>
      </c>
    </row>
    <row r="20" spans="1:26">
      <c r="A20" s="57" t="s">
        <v>83</v>
      </c>
      <c r="B20" s="59" t="str">
        <f>IF(ISNA(VLOOKUP($A20,'[1]Coding (Do not delete)'!$A$7:$K$656,3,FALSE))=TRUE,0,VLOOKUP($A20,'[1]Coding (Do not delete)'!$A$7:$K$656,8,FALSE))</f>
        <v>JE#  ZZ15  Def Hist - Unclaimed Cus Dep - a/c 238020</v>
      </c>
      <c r="C20" s="65">
        <f>IF(ISNA(VLOOKUP($A20,'[1]Coding (Do not delete)'!$A$7:$K$656,5,FALSE))=TRUE,0,VLOOKUP($A20,'[1]Coding (Do not delete)'!$A$7:$K$656,5,FALSE))</f>
        <v>238020</v>
      </c>
      <c r="D20" s="65" t="s">
        <v>68</v>
      </c>
      <c r="E20" s="65" t="s">
        <v>81</v>
      </c>
      <c r="F20" s="66"/>
      <c r="G20" s="61">
        <v>8609</v>
      </c>
      <c r="H20" s="56">
        <v>0</v>
      </c>
      <c r="I20" s="56"/>
      <c r="J20" s="56">
        <v>0</v>
      </c>
      <c r="K20" s="56">
        <v>0</v>
      </c>
      <c r="L20" s="56">
        <v>0</v>
      </c>
      <c r="M20" s="61">
        <f t="shared" si="0"/>
        <v>8609</v>
      </c>
      <c r="N20" s="56">
        <f>IF(ISNA(VLOOKUP($B20,'[1]Current Provision - HYP'!$A$10:$BP$201,$E$5,FALSE))=TRUE,0,VLOOKUP($B20,'[1]Current Provision - HYP'!$A$10:$BP$201,$E$5,FALSE))</f>
        <v>0</v>
      </c>
      <c r="O20" s="56">
        <v>0</v>
      </c>
      <c r="P20" s="58">
        <v>0</v>
      </c>
      <c r="Q20" s="58">
        <v>0</v>
      </c>
      <c r="R20" s="58">
        <v>0</v>
      </c>
      <c r="S20" s="61">
        <f t="shared" si="5"/>
        <v>8609</v>
      </c>
      <c r="T20" s="56"/>
      <c r="U20" s="63">
        <f t="shared" si="1"/>
        <v>3348.9009999999998</v>
      </c>
      <c r="V20" s="56">
        <f t="shared" si="2"/>
        <v>0</v>
      </c>
      <c r="W20" s="64">
        <f t="shared" si="3"/>
        <v>3348.9009999999998</v>
      </c>
      <c r="Z20" s="11">
        <f t="shared" si="4"/>
        <v>0</v>
      </c>
    </row>
    <row r="21" spans="1:26">
      <c r="A21" s="57" t="s">
        <v>84</v>
      </c>
      <c r="B21" s="59" t="str">
        <f>IF(ISNA(VLOOKUP($A21,'[1]Coding (Do not delete)'!$A$7:$K$656,3,FALSE))=TRUE,0,VLOOKUP($A21,'[1]Coding (Do not delete)'!$A$7:$K$656,8,FALSE))</f>
        <v>JE#  T210  Section 163(j) Limitation</v>
      </c>
      <c r="C21" s="65">
        <f>IF(ISNA(VLOOKUP($A21,'[1]Coding (Do not delete)'!$A$7:$K$656,5,FALSE))=TRUE,0,VLOOKUP($A21,'[1]Coding (Do not delete)'!$A$7:$K$656,5,FALSE))</f>
        <v>210240</v>
      </c>
      <c r="D21" s="65" t="s">
        <v>68</v>
      </c>
      <c r="E21" s="65" t="s">
        <v>72</v>
      </c>
      <c r="F21" s="66"/>
      <c r="G21" s="61">
        <v>0</v>
      </c>
      <c r="H21" s="56">
        <v>0</v>
      </c>
      <c r="I21" s="56"/>
      <c r="J21" s="56">
        <v>0</v>
      </c>
      <c r="K21" s="56">
        <v>0</v>
      </c>
      <c r="L21" s="56">
        <v>0</v>
      </c>
      <c r="M21" s="61">
        <f t="shared" si="0"/>
        <v>0</v>
      </c>
      <c r="N21" s="56">
        <f>IF(ISNA(VLOOKUP($B21,'[1]Current Provision - HYP'!$A$10:$BP$201,$E$5,FALSE))=TRUE,0,VLOOKUP($B21,'[1]Current Provision - HYP'!$A$10:$BP$201,$E$5,FALSE))</f>
        <v>0</v>
      </c>
      <c r="O21" s="56">
        <v>0</v>
      </c>
      <c r="P21" s="58">
        <v>0</v>
      </c>
      <c r="Q21" s="58">
        <v>0</v>
      </c>
      <c r="R21" s="58">
        <v>0</v>
      </c>
      <c r="S21" s="61">
        <f t="shared" si="5"/>
        <v>0</v>
      </c>
      <c r="T21" s="56"/>
      <c r="U21" s="63">
        <f t="shared" si="1"/>
        <v>0</v>
      </c>
      <c r="V21" s="56">
        <f t="shared" si="2"/>
        <v>0</v>
      </c>
      <c r="W21" s="64">
        <f t="shared" si="3"/>
        <v>0</v>
      </c>
      <c r="Z21" s="11">
        <f t="shared" si="4"/>
        <v>0</v>
      </c>
    </row>
    <row r="22" spans="1:26">
      <c r="A22" s="57" t="s">
        <v>85</v>
      </c>
      <c r="B22" s="59" t="str">
        <f>IF(ISNA(VLOOKUP($A22,'[1]Coding (Do not delete)'!$A$7:$K$656,3,FALSE))=TRUE,0,VLOOKUP($A22,'[1]Coding (Do not delete)'!$A$7:$K$656,8,FALSE))</f>
        <v>JE#  T216  Foreign Interest-267 Adjustment</v>
      </c>
      <c r="C22" s="65">
        <f>IF(ISNA(VLOOKUP($A22,'[1]Coding (Do not delete)'!$A$7:$K$656,5,FALSE))=TRUE,0,VLOOKUP($A22,'[1]Coding (Do not delete)'!$A$7:$K$656,5,FALSE))</f>
        <v>210240</v>
      </c>
      <c r="D22" s="65" t="s">
        <v>68</v>
      </c>
      <c r="E22" s="65" t="s">
        <v>72</v>
      </c>
      <c r="F22" s="66"/>
      <c r="G22" s="61">
        <v>0</v>
      </c>
      <c r="H22" s="56">
        <v>0</v>
      </c>
      <c r="I22" s="56"/>
      <c r="J22" s="56">
        <v>0</v>
      </c>
      <c r="K22" s="56">
        <v>0</v>
      </c>
      <c r="L22" s="56">
        <v>0</v>
      </c>
      <c r="M22" s="61">
        <f t="shared" si="0"/>
        <v>0</v>
      </c>
      <c r="N22" s="56">
        <f>IF(ISNA(VLOOKUP($B22,'[1]Current Provision - HYP'!$A$10:$BP$201,$E$5,FALSE))=TRUE,0,VLOOKUP($B22,'[1]Current Provision - HYP'!$A$10:$BP$201,$E$5,FALSE))</f>
        <v>0</v>
      </c>
      <c r="O22" s="56">
        <v>0</v>
      </c>
      <c r="P22" s="58">
        <v>0</v>
      </c>
      <c r="Q22" s="58">
        <v>0</v>
      </c>
      <c r="R22" s="58">
        <v>0</v>
      </c>
      <c r="S22" s="61">
        <f t="shared" si="5"/>
        <v>0</v>
      </c>
      <c r="T22" s="56"/>
      <c r="U22" s="63">
        <f t="shared" si="1"/>
        <v>0</v>
      </c>
      <c r="V22" s="56">
        <f t="shared" si="2"/>
        <v>0</v>
      </c>
      <c r="W22" s="64">
        <f t="shared" si="3"/>
        <v>0</v>
      </c>
      <c r="Z22" s="11">
        <f t="shared" si="4"/>
        <v>0</v>
      </c>
    </row>
    <row r="23" spans="1:26">
      <c r="A23" s="57" t="s">
        <v>86</v>
      </c>
      <c r="B23" s="59" t="s">
        <v>87</v>
      </c>
      <c r="C23" s="65"/>
      <c r="D23" s="65" t="s">
        <v>76</v>
      </c>
      <c r="E23" s="65" t="s">
        <v>88</v>
      </c>
      <c r="F23" s="66"/>
      <c r="G23" s="61">
        <v>0</v>
      </c>
      <c r="H23" s="56">
        <v>0</v>
      </c>
      <c r="I23" s="56"/>
      <c r="J23" s="56">
        <v>0</v>
      </c>
      <c r="K23" s="56">
        <v>0</v>
      </c>
      <c r="L23" s="56">
        <v>0</v>
      </c>
      <c r="M23" s="61">
        <f t="shared" si="0"/>
        <v>0</v>
      </c>
      <c r="N23" s="56">
        <f>IF(ISNA(VLOOKUP($B23,'[1]Current Provision - HYP'!$A$10:$BP$201,$E$5,FALSE))=TRUE,0,VLOOKUP($B23,'[1]Current Provision - HYP'!$A$10:$BP$201,$E$5,FALSE))</f>
        <v>0</v>
      </c>
      <c r="O23" s="56">
        <v>0</v>
      </c>
      <c r="P23" s="58">
        <v>0</v>
      </c>
      <c r="Q23" s="58">
        <v>0</v>
      </c>
      <c r="R23" s="58">
        <v>0</v>
      </c>
      <c r="S23" s="61">
        <f t="shared" si="5"/>
        <v>0</v>
      </c>
      <c r="T23" s="56"/>
      <c r="U23" s="63">
        <f t="shared" si="1"/>
        <v>0</v>
      </c>
      <c r="V23" s="56">
        <f t="shared" si="2"/>
        <v>0</v>
      </c>
      <c r="W23" s="64">
        <f t="shared" si="3"/>
        <v>0</v>
      </c>
      <c r="Z23" s="11">
        <f t="shared" si="4"/>
        <v>0</v>
      </c>
    </row>
    <row r="24" spans="1:26">
      <c r="A24" s="57" t="s">
        <v>86</v>
      </c>
      <c r="B24" s="59" t="s">
        <v>89</v>
      </c>
      <c r="C24" s="65"/>
      <c r="D24" s="65" t="s">
        <v>68</v>
      </c>
      <c r="E24" s="65" t="s">
        <v>90</v>
      </c>
      <c r="F24" s="66"/>
      <c r="G24" s="61">
        <v>284263</v>
      </c>
      <c r="H24" s="56">
        <v>0</v>
      </c>
      <c r="I24" s="56"/>
      <c r="J24" s="56">
        <v>0</v>
      </c>
      <c r="K24" s="56">
        <v>0</v>
      </c>
      <c r="L24" s="56">
        <v>0</v>
      </c>
      <c r="M24" s="61">
        <f t="shared" si="0"/>
        <v>284263</v>
      </c>
      <c r="N24" s="56">
        <f>IF(ISNA(VLOOKUP($B24,'[1]Current Provision - HYP'!$A$10:$BP$201,$E$5,FALSE))=TRUE,0,VLOOKUP($B24,'[1]Current Provision - HYP'!$A$10:$BP$201,$E$5,FALSE))</f>
        <v>0</v>
      </c>
      <c r="O24" s="56">
        <v>0</v>
      </c>
      <c r="P24" s="58">
        <v>0</v>
      </c>
      <c r="Q24" s="58">
        <v>0</v>
      </c>
      <c r="R24" s="58">
        <v>0</v>
      </c>
      <c r="S24" s="61">
        <f t="shared" si="5"/>
        <v>284263</v>
      </c>
      <c r="T24" s="56"/>
      <c r="U24" s="63">
        <f t="shared" si="1"/>
        <v>110578.30699999999</v>
      </c>
      <c r="V24" s="56">
        <f t="shared" si="2"/>
        <v>0</v>
      </c>
      <c r="W24" s="64">
        <f t="shared" si="3"/>
        <v>110578.30699999999</v>
      </c>
      <c r="Z24" s="11">
        <f t="shared" si="4"/>
        <v>0</v>
      </c>
    </row>
    <row r="25" spans="1:26">
      <c r="A25" s="57" t="s">
        <v>86</v>
      </c>
      <c r="B25" s="59" t="s">
        <v>91</v>
      </c>
      <c r="C25" s="65"/>
      <c r="D25" s="65" t="s">
        <v>68</v>
      </c>
      <c r="E25" s="65" t="s">
        <v>88</v>
      </c>
      <c r="F25" s="66"/>
      <c r="G25" s="61">
        <v>0</v>
      </c>
      <c r="H25" s="56">
        <v>0</v>
      </c>
      <c r="I25" s="56"/>
      <c r="J25" s="56">
        <v>0</v>
      </c>
      <c r="K25" s="56">
        <v>0</v>
      </c>
      <c r="L25" s="56">
        <v>0</v>
      </c>
      <c r="M25" s="61">
        <f t="shared" si="0"/>
        <v>0</v>
      </c>
      <c r="N25" s="56">
        <f>IF(ISNA(VLOOKUP($B25,'[1]Current Provision - HYP'!$A$10:$BP$201,$E$5,FALSE))=TRUE,0,VLOOKUP($B25,'[1]Current Provision - HYP'!$A$10:$BP$201,$E$5,FALSE))</f>
        <v>0</v>
      </c>
      <c r="O25" s="56">
        <v>0</v>
      </c>
      <c r="P25" s="58">
        <v>0</v>
      </c>
      <c r="Q25" s="58">
        <v>0</v>
      </c>
      <c r="R25" s="58">
        <v>0</v>
      </c>
      <c r="S25" s="61">
        <f t="shared" si="5"/>
        <v>0</v>
      </c>
      <c r="T25" s="56"/>
      <c r="U25" s="63">
        <f t="shared" si="1"/>
        <v>0</v>
      </c>
      <c r="V25" s="56">
        <f t="shared" si="2"/>
        <v>0</v>
      </c>
      <c r="W25" s="64">
        <f t="shared" si="3"/>
        <v>0</v>
      </c>
      <c r="Z25" s="11">
        <f t="shared" si="4"/>
        <v>0</v>
      </c>
    </row>
    <row r="26" spans="1:26">
      <c r="A26" s="57" t="s">
        <v>86</v>
      </c>
      <c r="B26" s="59" t="s">
        <v>92</v>
      </c>
      <c r="C26" s="65"/>
      <c r="D26" s="65" t="s">
        <v>93</v>
      </c>
      <c r="E26" s="65" t="s">
        <v>90</v>
      </c>
      <c r="F26" s="66"/>
      <c r="G26" s="61">
        <v>-284263</v>
      </c>
      <c r="H26" s="56">
        <v>0</v>
      </c>
      <c r="I26" s="56"/>
      <c r="J26" s="56">
        <v>0</v>
      </c>
      <c r="K26" s="56">
        <v>0</v>
      </c>
      <c r="L26" s="56">
        <v>0</v>
      </c>
      <c r="M26" s="61">
        <f t="shared" si="0"/>
        <v>-284263</v>
      </c>
      <c r="N26" s="56">
        <f>IF(ISNA(VLOOKUP($B26,'[1]Current Provision - HYP'!$A$10:$BP$201,$E$5,FALSE))=TRUE,0,VLOOKUP($B26,'[1]Current Provision - HYP'!$A$10:$BP$201,$E$5,FALSE))</f>
        <v>0</v>
      </c>
      <c r="O26" s="56">
        <v>0</v>
      </c>
      <c r="P26" s="58">
        <v>0</v>
      </c>
      <c r="Q26" s="58">
        <v>0</v>
      </c>
      <c r="R26" s="58">
        <v>0</v>
      </c>
      <c r="S26" s="61">
        <f t="shared" si="5"/>
        <v>-284263</v>
      </c>
      <c r="T26" s="56"/>
      <c r="U26" s="63">
        <f t="shared" si="1"/>
        <v>0</v>
      </c>
      <c r="V26" s="56">
        <f t="shared" si="2"/>
        <v>110578.30699999999</v>
      </c>
      <c r="W26" s="64">
        <f t="shared" si="3"/>
        <v>-110578.30699999999</v>
      </c>
      <c r="Z26" s="11">
        <f t="shared" si="4"/>
        <v>0</v>
      </c>
    </row>
    <row r="27" spans="1:26">
      <c r="A27" s="57" t="s">
        <v>86</v>
      </c>
      <c r="B27" s="59" t="s">
        <v>94</v>
      </c>
      <c r="C27" s="65"/>
      <c r="D27" s="65" t="s">
        <v>76</v>
      </c>
      <c r="E27" s="65" t="s">
        <v>95</v>
      </c>
      <c r="F27" s="66"/>
      <c r="G27" s="56">
        <v>0</v>
      </c>
      <c r="H27" s="56">
        <v>0</v>
      </c>
      <c r="I27" s="56"/>
      <c r="J27" s="56">
        <v>0</v>
      </c>
      <c r="K27" s="56">
        <v>0</v>
      </c>
      <c r="L27" s="56">
        <v>0</v>
      </c>
      <c r="M27" s="61">
        <f t="shared" si="0"/>
        <v>0</v>
      </c>
      <c r="N27" s="56">
        <f>IF(ISNA(VLOOKUP($B27,'[1]Current Provision - HYP'!$A$10:$BP$201,$E$5,FALSE))=TRUE,0,VLOOKUP($B27,'[1]Current Provision - HYP'!$A$10:$BP$201,$E$5,FALSE))</f>
        <v>0</v>
      </c>
      <c r="O27" s="56">
        <v>0</v>
      </c>
      <c r="P27" s="58">
        <v>0</v>
      </c>
      <c r="Q27" s="58">
        <v>0</v>
      </c>
      <c r="R27" s="58">
        <v>0</v>
      </c>
      <c r="S27" s="67">
        <f t="shared" si="5"/>
        <v>0</v>
      </c>
      <c r="T27" s="56"/>
      <c r="U27" s="63">
        <f t="shared" si="1"/>
        <v>0</v>
      </c>
      <c r="V27" s="56">
        <f t="shared" si="2"/>
        <v>0</v>
      </c>
      <c r="W27" s="64">
        <f t="shared" si="3"/>
        <v>0</v>
      </c>
      <c r="Z27" s="11">
        <f t="shared" si="4"/>
        <v>0</v>
      </c>
    </row>
    <row r="28" spans="1:26">
      <c r="A28" s="57" t="s">
        <v>86</v>
      </c>
      <c r="B28" s="59" t="s">
        <v>96</v>
      </c>
      <c r="C28" s="65"/>
      <c r="D28" s="65"/>
      <c r="E28" s="65" t="s">
        <v>72</v>
      </c>
      <c r="F28" s="66"/>
      <c r="G28" s="56">
        <v>0</v>
      </c>
      <c r="H28" s="56">
        <v>0</v>
      </c>
      <c r="I28" s="56"/>
      <c r="J28" s="56">
        <v>0</v>
      </c>
      <c r="K28" s="56">
        <v>0</v>
      </c>
      <c r="L28" s="56">
        <v>0</v>
      </c>
      <c r="M28" s="61">
        <f t="shared" si="0"/>
        <v>0</v>
      </c>
      <c r="N28" s="56">
        <f>IF(ISNA(VLOOKUP($B28,'[1]Current Provision - HYP'!$A$10:$BP$201,$E$5,FALSE))=TRUE,0,VLOOKUP($B28,'[1]Current Provision - HYP'!$A$10:$BP$201,$E$5,FALSE))</f>
        <v>0</v>
      </c>
      <c r="O28" s="56">
        <v>0</v>
      </c>
      <c r="P28" s="58">
        <v>0</v>
      </c>
      <c r="Q28" s="58">
        <v>0</v>
      </c>
      <c r="R28" s="58">
        <v>0</v>
      </c>
      <c r="S28" s="61">
        <f>SUM(M28:R28)</f>
        <v>0</v>
      </c>
      <c r="T28" s="56"/>
      <c r="U28" s="63">
        <f t="shared" si="1"/>
        <v>0</v>
      </c>
      <c r="V28" s="56">
        <f t="shared" si="2"/>
        <v>0</v>
      </c>
      <c r="W28" s="64">
        <f t="shared" si="3"/>
        <v>0</v>
      </c>
      <c r="Z28" s="11">
        <f t="shared" si="4"/>
        <v>0</v>
      </c>
    </row>
    <row r="29" spans="1:26">
      <c r="A29" s="57" t="s">
        <v>86</v>
      </c>
      <c r="B29" s="59" t="s">
        <v>97</v>
      </c>
      <c r="C29" s="65"/>
      <c r="D29" s="65"/>
      <c r="E29" s="65" t="s">
        <v>95</v>
      </c>
      <c r="F29" s="66"/>
      <c r="G29" s="56">
        <v>0</v>
      </c>
      <c r="H29" s="56">
        <v>0</v>
      </c>
      <c r="I29" s="56"/>
      <c r="J29" s="56">
        <v>0</v>
      </c>
      <c r="K29" s="56">
        <v>0</v>
      </c>
      <c r="L29" s="56">
        <v>0</v>
      </c>
      <c r="M29" s="61">
        <f t="shared" si="0"/>
        <v>0</v>
      </c>
      <c r="N29" s="56">
        <f>IF(ISNA(VLOOKUP($B29,'[1]Current Provision - HYP'!$A$10:$BP$201,$E$5,FALSE))=TRUE,0,VLOOKUP($B29,'[1]Current Provision - HYP'!$A$10:$BP$201,$E$5,FALSE))</f>
        <v>0</v>
      </c>
      <c r="O29" s="56">
        <v>0</v>
      </c>
      <c r="P29" s="58">
        <v>0</v>
      </c>
      <c r="Q29" s="58">
        <v>0</v>
      </c>
      <c r="R29" s="58">
        <v>0</v>
      </c>
      <c r="S29" s="61">
        <f>SUM(M29:R29)</f>
        <v>0</v>
      </c>
      <c r="T29" s="56"/>
      <c r="U29" s="63">
        <f t="shared" si="1"/>
        <v>0</v>
      </c>
      <c r="V29" s="56">
        <f t="shared" si="2"/>
        <v>0</v>
      </c>
      <c r="W29" s="64">
        <f t="shared" si="3"/>
        <v>0</v>
      </c>
      <c r="Z29" s="11">
        <f t="shared" si="4"/>
        <v>0</v>
      </c>
    </row>
    <row r="30" spans="1:26">
      <c r="A30" s="57" t="s">
        <v>86</v>
      </c>
      <c r="B30" s="59" t="s">
        <v>98</v>
      </c>
      <c r="C30" s="65"/>
      <c r="D30" s="65"/>
      <c r="E30" s="65"/>
      <c r="F30" s="66"/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61">
        <f t="shared" si="0"/>
        <v>0</v>
      </c>
      <c r="N30" s="56">
        <f>IF(ISNA(VLOOKUP($B30,'[1]Current Provision - HYP'!$A$10:$BP$201,$E$5,FALSE))=TRUE,0,VLOOKUP($B30,'[1]Current Provision - HYP'!$A$10:$BP$201,$E$5,FALSE))</f>
        <v>0</v>
      </c>
      <c r="O30" s="56">
        <v>0</v>
      </c>
      <c r="P30" s="58">
        <v>0</v>
      </c>
      <c r="Q30" s="58">
        <v>0</v>
      </c>
      <c r="R30" s="58">
        <v>0</v>
      </c>
      <c r="S30" s="61">
        <f>SUM(M30:R30)</f>
        <v>0</v>
      </c>
      <c r="T30" s="56"/>
      <c r="U30" s="63">
        <f t="shared" si="1"/>
        <v>0</v>
      </c>
      <c r="V30" s="56">
        <f t="shared" si="2"/>
        <v>0</v>
      </c>
      <c r="W30" s="64">
        <f t="shared" si="3"/>
        <v>0</v>
      </c>
      <c r="Z30" s="11">
        <f t="shared" si="4"/>
        <v>0</v>
      </c>
    </row>
    <row r="31" spans="1:26">
      <c r="A31" s="57" t="s">
        <v>86</v>
      </c>
      <c r="B31" s="59" t="s">
        <v>98</v>
      </c>
      <c r="C31" s="65"/>
      <c r="D31" s="65"/>
      <c r="E31" s="65"/>
      <c r="F31" s="66"/>
      <c r="G31" s="56">
        <v>0</v>
      </c>
      <c r="H31" s="56">
        <v>0</v>
      </c>
      <c r="I31" s="56"/>
      <c r="J31" s="56">
        <v>0</v>
      </c>
      <c r="K31" s="56">
        <v>0</v>
      </c>
      <c r="L31" s="56">
        <v>0</v>
      </c>
      <c r="M31" s="61">
        <f t="shared" si="0"/>
        <v>0</v>
      </c>
      <c r="N31" s="56">
        <f>IF(ISNA(VLOOKUP($B31,'[1]Current Provision - HYP'!$A$10:$BP$201,$E$5,FALSE))=TRUE,0,VLOOKUP($B31,'[1]Current Provision - HYP'!$A$10:$BP$201,$E$5,FALSE))</f>
        <v>0</v>
      </c>
      <c r="O31" s="56">
        <v>0</v>
      </c>
      <c r="P31" s="58">
        <v>0</v>
      </c>
      <c r="Q31" s="58">
        <v>0</v>
      </c>
      <c r="R31" s="58">
        <v>0</v>
      </c>
      <c r="S31" s="61">
        <f>SUM(M31:R31)</f>
        <v>0</v>
      </c>
      <c r="T31" s="56"/>
      <c r="U31" s="63">
        <f t="shared" si="1"/>
        <v>0</v>
      </c>
      <c r="V31" s="56">
        <f t="shared" si="2"/>
        <v>0</v>
      </c>
      <c r="W31" s="64">
        <f t="shared" si="3"/>
        <v>0</v>
      </c>
      <c r="Z31" s="11">
        <f t="shared" si="4"/>
        <v>0</v>
      </c>
    </row>
    <row r="32" spans="1:26">
      <c r="A32" s="68" t="s">
        <v>99</v>
      </c>
      <c r="B32" s="68"/>
      <c r="C32" s="69"/>
      <c r="D32" s="69"/>
      <c r="E32" s="69"/>
      <c r="F32" s="70" t="s">
        <v>100</v>
      </c>
      <c r="G32" s="71">
        <f t="shared" ref="G32:S32" si="6">SUM(G11:G31)</f>
        <v>591329.02430000005</v>
      </c>
      <c r="H32" s="71">
        <f t="shared" si="6"/>
        <v>1</v>
      </c>
      <c r="I32" s="71">
        <f t="shared" si="6"/>
        <v>0</v>
      </c>
      <c r="J32" s="71">
        <f t="shared" si="6"/>
        <v>0</v>
      </c>
      <c r="K32" s="71">
        <f t="shared" si="6"/>
        <v>0</v>
      </c>
      <c r="L32" s="71">
        <f t="shared" si="6"/>
        <v>0</v>
      </c>
      <c r="M32" s="71">
        <f t="shared" si="6"/>
        <v>591330.02430000005</v>
      </c>
      <c r="N32" s="71">
        <f t="shared" si="6"/>
        <v>114511.17958333335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71">
        <f t="shared" si="6"/>
        <v>0</v>
      </c>
      <c r="S32" s="71">
        <f t="shared" si="6"/>
        <v>705841.20388333336</v>
      </c>
      <c r="T32" s="72" t="s">
        <v>101</v>
      </c>
      <c r="U32" s="71">
        <f>SUM(U11:U31)</f>
        <v>417924.17431061663</v>
      </c>
      <c r="V32" s="71">
        <f>SUM(V11:V31)</f>
        <v>143351.946</v>
      </c>
      <c r="W32" s="71">
        <f>SUM(W11:W31)</f>
        <v>274572.22831061663</v>
      </c>
      <c r="Z32" s="11">
        <f>SUM(M32:R32)-S32</f>
        <v>0</v>
      </c>
    </row>
    <row r="33" spans="1:26">
      <c r="A33" s="57"/>
      <c r="B33" s="59" t="s">
        <v>102</v>
      </c>
      <c r="C33" s="65"/>
      <c r="D33" s="65"/>
      <c r="E33" s="65"/>
      <c r="F33" s="66"/>
      <c r="G33" s="56"/>
      <c r="H33" s="56"/>
      <c r="I33" s="56"/>
      <c r="J33" s="56"/>
      <c r="K33" s="56"/>
      <c r="L33" s="56"/>
      <c r="M33" s="73" t="str">
        <f>IF(SUM(G32:L32)=M32,"CF","ERROR CF")</f>
        <v>CF</v>
      </c>
      <c r="N33" s="56"/>
      <c r="O33" s="56"/>
      <c r="P33" s="56"/>
      <c r="Q33" s="56"/>
      <c r="R33" s="56"/>
      <c r="S33" s="73" t="str">
        <f>IF(SUM(M32:R32)=S32,"CF","ERROR CF")</f>
        <v>CF</v>
      </c>
      <c r="T33" s="56"/>
      <c r="U33" s="56"/>
      <c r="V33" s="56"/>
      <c r="W33" s="64"/>
      <c r="Z33" s="11"/>
    </row>
    <row r="34" spans="1:26">
      <c r="A34" s="305" t="s">
        <v>103</v>
      </c>
      <c r="B34" s="305"/>
      <c r="C34" s="305"/>
      <c r="D34" s="305"/>
      <c r="E34" s="305"/>
      <c r="F34" s="66"/>
      <c r="G34" s="56"/>
      <c r="H34" s="56"/>
      <c r="I34" s="56"/>
      <c r="J34" s="56"/>
      <c r="K34" s="56"/>
      <c r="L34" s="56"/>
      <c r="M34" s="73"/>
      <c r="N34" s="56"/>
      <c r="O34" s="56"/>
      <c r="P34" s="56"/>
      <c r="Q34" s="56"/>
      <c r="R34" s="56"/>
      <c r="S34" s="73"/>
      <c r="T34" s="56"/>
      <c r="U34" s="56"/>
      <c r="V34" s="56"/>
      <c r="W34" s="64"/>
      <c r="Z34" s="11"/>
    </row>
    <row r="35" spans="1:26" ht="15">
      <c r="A35" s="74" t="s">
        <v>104</v>
      </c>
      <c r="B35" s="75" t="str">
        <f>IF(ISNA(VLOOKUP($A35,'[1]Coding (Do not delete)'!$A$7:$K$656,3,FALSE))=TRUE,0,VLOOKUP($A35,'[1]Coding (Do not delete)'!$A$7:$K$656,8,FALSE))</f>
        <v>JE#  T145  AFUDC (AFUDC 1)</v>
      </c>
      <c r="C35" s="54">
        <f>IF(ISNA(VLOOKUP($A35,'[1]Coding (Do not delete)'!$A$7:$K$656,5,FALSE))=TRUE,0,VLOOKUP($A35,'[1]Coding (Do not delete)'!$A$7:$K$656,5,FALSE))</f>
        <v>101000</v>
      </c>
      <c r="D35" s="54" t="s">
        <v>93</v>
      </c>
      <c r="E35" s="54" t="s">
        <v>90</v>
      </c>
      <c r="F35" s="66" t="s">
        <v>105</v>
      </c>
      <c r="G35" s="61">
        <v>-12774168.578868894</v>
      </c>
      <c r="H35" s="56">
        <v>-5.0000000046566129E-2</v>
      </c>
      <c r="I35" s="56"/>
      <c r="J35" s="58">
        <v>0</v>
      </c>
      <c r="K35" s="56">
        <v>0</v>
      </c>
      <c r="L35" s="56">
        <v>0</v>
      </c>
      <c r="M35" s="61">
        <f t="shared" ref="M35:M98" si="7">SUM(G35:L35)</f>
        <v>-12774168.628868895</v>
      </c>
      <c r="N35" s="56">
        <f>IF(ISNA(VLOOKUP($B35,'[1]Current Provision - HYP'!$A$10:$BP$201,$E$5,FALSE))=TRUE,0,VLOOKUP($B35,'[1]Current Provision - HYP'!$A$10:$BP$201,$E$5,FALSE))</f>
        <v>-948474.27</v>
      </c>
      <c r="O35" s="56">
        <v>0</v>
      </c>
      <c r="P35" s="58">
        <v>0</v>
      </c>
      <c r="Q35" s="58">
        <v>0</v>
      </c>
      <c r="R35" s="58">
        <v>0</v>
      </c>
      <c r="S35" s="61">
        <f t="shared" ref="S35:S98" si="8">SUM(M35:R35)</f>
        <v>-13722642.898868894</v>
      </c>
      <c r="T35" s="56"/>
      <c r="U35" s="63">
        <f t="shared" ref="U35:U98" si="9">IF(S35&gt;0,S35*$G$309,0)</f>
        <v>0</v>
      </c>
      <c r="V35" s="56">
        <f t="shared" ref="V35:V98" si="10">IF(S35&lt;0,-S35*$G$309,0)</f>
        <v>5338108.0876599988</v>
      </c>
      <c r="W35" s="64">
        <f t="shared" ref="W35:W98" si="11">U35-V35</f>
        <v>-5338108.0876599988</v>
      </c>
      <c r="X35" s="76"/>
      <c r="Y35" s="77"/>
      <c r="Z35" s="78">
        <f t="shared" ref="Z35:Z98" si="12">SUM(M35:R35)-S35</f>
        <v>0</v>
      </c>
    </row>
    <row r="36" spans="1:26" ht="15">
      <c r="A36" s="74" t="s">
        <v>106</v>
      </c>
      <c r="B36" s="75" t="str">
        <f>IF(ISNA(VLOOKUP($A36,'[1]Coding (Do not delete)'!$A$7:$K$656,3,FALSE))=TRUE,0,VLOOKUP($A36,'[1]Coding (Do not delete)'!$A$7:$K$656,8,FALSE))</f>
        <v>JE#  T151  Amortization of Post In-Service AFUDC (P AFUDC 2)</v>
      </c>
      <c r="C36" s="54">
        <f>IF(ISNA(VLOOKUP($A36,'[1]Coding (Do not delete)'!$A$7:$K$656,5,FALSE))=TRUE,0,VLOOKUP($A36,'[1]Coding (Do not delete)'!$A$7:$K$656,5,FALSE))</f>
        <v>101000</v>
      </c>
      <c r="D36" s="54" t="s">
        <v>93</v>
      </c>
      <c r="E36" s="54" t="s">
        <v>107</v>
      </c>
      <c r="F36" s="79"/>
      <c r="G36" s="61">
        <v>0</v>
      </c>
      <c r="H36" s="56">
        <v>0</v>
      </c>
      <c r="I36" s="56"/>
      <c r="J36" s="58">
        <v>0</v>
      </c>
      <c r="K36" s="56">
        <v>0</v>
      </c>
      <c r="L36" s="56">
        <v>0</v>
      </c>
      <c r="M36" s="61">
        <f t="shared" si="7"/>
        <v>0</v>
      </c>
      <c r="N36" s="56">
        <f>IF(ISNA(VLOOKUP($B36,'[1]Current Provision - HYP'!$A$10:$BP$201,$E$5,FALSE))=TRUE,0,VLOOKUP($B36,'[1]Current Provision - HYP'!$A$10:$BP$201,$E$5,FALSE))</f>
        <v>0</v>
      </c>
      <c r="O36" s="56">
        <v>0</v>
      </c>
      <c r="P36" s="58">
        <v>0</v>
      </c>
      <c r="Q36" s="58">
        <v>0</v>
      </c>
      <c r="R36" s="58">
        <v>0</v>
      </c>
      <c r="S36" s="61">
        <f t="shared" si="8"/>
        <v>0</v>
      </c>
      <c r="T36" s="56"/>
      <c r="U36" s="63">
        <f t="shared" si="9"/>
        <v>0</v>
      </c>
      <c r="V36" s="56">
        <f t="shared" si="10"/>
        <v>0</v>
      </c>
      <c r="W36" s="64">
        <f t="shared" si="11"/>
        <v>0</v>
      </c>
      <c r="X36" s="77"/>
      <c r="Y36" s="77"/>
      <c r="Z36" s="78">
        <f t="shared" si="12"/>
        <v>0</v>
      </c>
    </row>
    <row r="37" spans="1:26" ht="15">
      <c r="A37" s="74" t="s">
        <v>108</v>
      </c>
      <c r="B37" s="75" t="str">
        <f>IF(ISNA(VLOOKUP($A37,'[1]Coding (Do not delete)'!$A$7:$K$656,3,FALSE))=TRUE,0,VLOOKUP($A37,'[1]Coding (Do not delete)'!$A$7:$K$656,8,FALSE))</f>
        <v>JE#  ZZ01  Def Hist - Plant a/c 101000</v>
      </c>
      <c r="C37" s="54">
        <f>IF(ISNA(VLOOKUP($A37,'[1]Coding (Do not delete)'!$A$7:$K$656,5,FALSE))=TRUE,0,VLOOKUP($A37,'[1]Coding (Do not delete)'!$A$7:$K$656,5,FALSE))</f>
        <v>101000</v>
      </c>
      <c r="D37" s="54" t="s">
        <v>93</v>
      </c>
      <c r="E37" s="54" t="s">
        <v>90</v>
      </c>
      <c r="F37" s="79"/>
      <c r="G37" s="61">
        <v>-73329345.079999745</v>
      </c>
      <c r="H37" s="56">
        <v>0</v>
      </c>
      <c r="I37" s="56"/>
      <c r="J37" s="257">
        <f>-2254135-7</f>
        <v>-2254142</v>
      </c>
      <c r="K37" s="56">
        <v>0</v>
      </c>
      <c r="L37" s="56">
        <v>0</v>
      </c>
      <c r="M37" s="61">
        <f t="shared" si="7"/>
        <v>-75583487.079999745</v>
      </c>
      <c r="N37" s="56">
        <f>IF(ISNA(VLOOKUP($B37,'[1]Current Provision - HYP'!$A$10:$BP$201,$E$5,FALSE))=TRUE,0,VLOOKUP($B37,'[1]Current Provision - HYP'!$A$10:$BP$201,$E$5,FALSE))</f>
        <v>0</v>
      </c>
      <c r="O37" s="56">
        <v>0</v>
      </c>
      <c r="P37" s="58">
        <v>0</v>
      </c>
      <c r="Q37" s="58">
        <v>0</v>
      </c>
      <c r="R37" s="58">
        <v>0</v>
      </c>
      <c r="S37" s="61">
        <f t="shared" si="8"/>
        <v>-75583487.079999745</v>
      </c>
      <c r="T37" s="56"/>
      <c r="U37" s="63">
        <f t="shared" si="9"/>
        <v>0</v>
      </c>
      <c r="V37" s="56">
        <f t="shared" si="10"/>
        <v>29401976.474119898</v>
      </c>
      <c r="W37" s="64">
        <f t="shared" si="11"/>
        <v>-29401976.474119898</v>
      </c>
      <c r="X37" s="77"/>
      <c r="Y37" s="77"/>
      <c r="Z37" s="78">
        <f t="shared" si="12"/>
        <v>0</v>
      </c>
    </row>
    <row r="38" spans="1:26">
      <c r="A38" s="74" t="s">
        <v>109</v>
      </c>
      <c r="B38" s="75" t="str">
        <f>IF(ISNA(VLOOKUP($A38,'[1]Coding (Do not delete)'!$A$7:$K$656,3,FALSE))=TRUE,0,VLOOKUP($A38,'[1]Coding (Do not delete)'!$A$7:$K$656,8,FALSE))</f>
        <v>JE#  T047  Reg Asset - AFUDC Debt in Plant (Depr 3)</v>
      </c>
      <c r="C38" s="65">
        <f>IF(ISNA(VLOOKUP($A38,'[1]Coding (Do not delete)'!$A$7:$K$656,5,FALSE))=TRUE,0,VLOOKUP($A38,'[1]Coding (Do not delete)'!$A$7:$K$656,5,FALSE))</f>
        <v>101100</v>
      </c>
      <c r="D38" s="65" t="s">
        <v>93</v>
      </c>
      <c r="E38" s="65" t="s">
        <v>90</v>
      </c>
      <c r="F38" s="79"/>
      <c r="G38" s="61">
        <v>-273653</v>
      </c>
      <c r="H38" s="56">
        <v>0</v>
      </c>
      <c r="I38" s="56"/>
      <c r="J38" s="58">
        <v>0</v>
      </c>
      <c r="K38" s="56">
        <v>0</v>
      </c>
      <c r="L38" s="56">
        <v>0</v>
      </c>
      <c r="M38" s="61">
        <f t="shared" si="7"/>
        <v>-273653</v>
      </c>
      <c r="N38" s="56">
        <f>IF(ISNA(VLOOKUP($B38,'[1]Current Provision - HYP'!$A$10:$BP$201,$E$5,FALSE))=TRUE,0,VLOOKUP($B38,'[1]Current Provision - HYP'!$A$10:$BP$201,$E$5,FALSE))</f>
        <v>0</v>
      </c>
      <c r="O38" s="56">
        <v>0</v>
      </c>
      <c r="P38" s="58">
        <v>0</v>
      </c>
      <c r="Q38" s="58">
        <v>0</v>
      </c>
      <c r="R38" s="58">
        <v>0</v>
      </c>
      <c r="S38" s="61">
        <f t="shared" si="8"/>
        <v>-273653</v>
      </c>
      <c r="T38" s="56"/>
      <c r="U38" s="63">
        <f t="shared" si="9"/>
        <v>0</v>
      </c>
      <c r="V38" s="56">
        <f t="shared" si="10"/>
        <v>106451.01699999999</v>
      </c>
      <c r="W38" s="64">
        <f t="shared" si="11"/>
        <v>-106451.01699999999</v>
      </c>
      <c r="Z38" s="11">
        <f t="shared" si="12"/>
        <v>0</v>
      </c>
    </row>
    <row r="39" spans="1:26">
      <c r="A39" s="74" t="s">
        <v>110</v>
      </c>
      <c r="B39" s="75" t="str">
        <f>IF(ISNA(VLOOKUP($A39,'[1]Coding (Do not delete)'!$A$7:$K$656,3,FALSE))=TRUE,0,VLOOKUP($A39,'[1]Coding (Do not delete)'!$A$7:$K$656,8,FALSE))</f>
        <v>JE#  ZZ02  Def Hist - Land a/c 101303</v>
      </c>
      <c r="C39" s="54">
        <f>IF(ISNA(VLOOKUP($A39,'[1]Coding (Do not delete)'!$A$7:$K$656,5,FALSE))=TRUE,0,VLOOKUP($A39,'[1]Coding (Do not delete)'!$A$7:$K$656,5,FALSE))</f>
        <v>101303</v>
      </c>
      <c r="D39" s="54" t="s">
        <v>76</v>
      </c>
      <c r="E39" s="54" t="s">
        <v>90</v>
      </c>
      <c r="F39" s="79"/>
      <c r="G39" s="61">
        <v>0</v>
      </c>
      <c r="H39" s="56">
        <v>0</v>
      </c>
      <c r="I39" s="56"/>
      <c r="J39" s="58">
        <v>0</v>
      </c>
      <c r="K39" s="56">
        <v>0</v>
      </c>
      <c r="L39" s="56">
        <v>0</v>
      </c>
      <c r="M39" s="61">
        <f t="shared" si="7"/>
        <v>0</v>
      </c>
      <c r="N39" s="56">
        <f>IF(ISNA(VLOOKUP($B39,'[1]Current Provision - HYP'!$A$10:$BP$201,$E$5,FALSE))=TRUE,0,VLOOKUP($B39,'[1]Current Provision - HYP'!$A$10:$BP$201,$E$5,FALSE))</f>
        <v>0</v>
      </c>
      <c r="O39" s="56">
        <v>0</v>
      </c>
      <c r="P39" s="58">
        <v>0</v>
      </c>
      <c r="Q39" s="58">
        <v>0</v>
      </c>
      <c r="R39" s="58">
        <v>0</v>
      </c>
      <c r="S39" s="61">
        <f t="shared" si="8"/>
        <v>0</v>
      </c>
      <c r="T39" s="56"/>
      <c r="U39" s="63">
        <f t="shared" si="9"/>
        <v>0</v>
      </c>
      <c r="V39" s="56">
        <f t="shared" si="10"/>
        <v>0</v>
      </c>
      <c r="W39" s="64">
        <f t="shared" si="11"/>
        <v>0</v>
      </c>
      <c r="X39" s="80"/>
      <c r="Y39" s="80"/>
      <c r="Z39" s="81">
        <f t="shared" si="12"/>
        <v>0</v>
      </c>
    </row>
    <row r="40" spans="1:26">
      <c r="A40" s="74" t="s">
        <v>111</v>
      </c>
      <c r="B40" s="75" t="str">
        <f>IF(ISNA(VLOOKUP($A40,'[1]Coding (Do not delete)'!$A$7:$K$656,3,FALSE))=TRUE,0,VLOOKUP($A40,'[1]Coding (Do not delete)'!$A$7:$K$656,8,FALSE))</f>
        <v>JE#  ZZ03  Def Hist - Prop. Held Future Use a/c 103000</v>
      </c>
      <c r="C40" s="54">
        <f>IF(ISNA(VLOOKUP($A40,'[1]Coding (Do not delete)'!$A$7:$K$656,5,FALSE))=TRUE,0,VLOOKUP($A40,'[1]Coding (Do not delete)'!$A$7:$K$656,5,FALSE))</f>
        <v>103000</v>
      </c>
      <c r="D40" s="54" t="s">
        <v>76</v>
      </c>
      <c r="E40" s="54" t="s">
        <v>90</v>
      </c>
      <c r="F40" s="79"/>
      <c r="G40" s="61">
        <v>-392843.09254498716</v>
      </c>
      <c r="H40" s="56">
        <v>0</v>
      </c>
      <c r="I40" s="56"/>
      <c r="J40" s="58">
        <v>0</v>
      </c>
      <c r="K40" s="56">
        <v>0</v>
      </c>
      <c r="L40" s="56">
        <v>0</v>
      </c>
      <c r="M40" s="61">
        <f t="shared" si="7"/>
        <v>-392843.09254498716</v>
      </c>
      <c r="N40" s="56">
        <f>IF(ISNA(VLOOKUP($B40,'[1]Current Provision - HYP'!$A$10:$BP$201,$E$5,FALSE))=TRUE,0,VLOOKUP($B40,'[1]Current Provision - HYP'!$A$10:$BP$201,$E$5,FALSE))</f>
        <v>0</v>
      </c>
      <c r="O40" s="56">
        <v>0</v>
      </c>
      <c r="P40" s="58">
        <v>0</v>
      </c>
      <c r="Q40" s="58">
        <v>0</v>
      </c>
      <c r="R40" s="58">
        <v>0</v>
      </c>
      <c r="S40" s="61">
        <f t="shared" si="8"/>
        <v>-392843.09254498716</v>
      </c>
      <c r="T40" s="56"/>
      <c r="U40" s="63">
        <f t="shared" si="9"/>
        <v>0</v>
      </c>
      <c r="V40" s="56">
        <f t="shared" si="10"/>
        <v>152815.96299999999</v>
      </c>
      <c r="W40" s="64">
        <f t="shared" si="11"/>
        <v>-152815.96299999999</v>
      </c>
      <c r="X40" s="56"/>
      <c r="Y40" s="82"/>
      <c r="Z40" s="83">
        <f t="shared" si="12"/>
        <v>0</v>
      </c>
    </row>
    <row r="41" spans="1:26">
      <c r="A41" s="74" t="s">
        <v>112</v>
      </c>
      <c r="B41" s="75" t="str">
        <f>IF(ISNA(VLOOKUP($A41,'[1]Coding (Do not delete)'!$A$7:$K$656,3,FALSE))=TRUE,0,VLOOKUP($A41,'[1]Coding (Do not delete)'!$A$7:$K$656,8,FALSE))</f>
        <v>JE#  T045  Depreciation and Amortization (Depr 1)</v>
      </c>
      <c r="C41" s="65">
        <f>IF(ISNA(VLOOKUP($A41,'[1]Coding (Do not delete)'!$A$7:$K$656,5,FALSE))=TRUE,0,VLOOKUP($A41,'[1]Coding (Do not delete)'!$A$7:$K$656,5,FALSE))</f>
        <v>108000</v>
      </c>
      <c r="D41" s="65" t="s">
        <v>93</v>
      </c>
      <c r="E41" s="65" t="s">
        <v>113</v>
      </c>
      <c r="F41" s="79"/>
      <c r="G41" s="61">
        <v>108276770.99683279</v>
      </c>
      <c r="H41" s="56">
        <v>190850.44653729536</v>
      </c>
      <c r="I41" s="56"/>
      <c r="J41" s="58">
        <v>0</v>
      </c>
      <c r="K41" s="56">
        <v>0</v>
      </c>
      <c r="L41" s="56">
        <v>0</v>
      </c>
      <c r="M41" s="61">
        <f t="shared" si="7"/>
        <v>108467621.44337009</v>
      </c>
      <c r="N41" s="56">
        <f>IF(ISNA(VLOOKUP($B41,'[1]Current Provision - HYP'!$A$10:$BP$201,$E$5,FALSE))=TRUE,0,VLOOKUP($B41,'[1]Current Provision - HYP'!$A$10:$BP$201,$E$5,FALSE))</f>
        <v>-113321.31014165096</v>
      </c>
      <c r="O41" s="56">
        <v>0</v>
      </c>
      <c r="P41" s="58">
        <v>0</v>
      </c>
      <c r="Q41" s="58">
        <v>0</v>
      </c>
      <c r="R41" s="58">
        <v>0</v>
      </c>
      <c r="S41" s="61">
        <f t="shared" si="8"/>
        <v>108354300.13322844</v>
      </c>
      <c r="T41" s="56"/>
      <c r="U41" s="63">
        <f t="shared" si="9"/>
        <v>42149822.751825854</v>
      </c>
      <c r="V41" s="56">
        <f t="shared" si="10"/>
        <v>0</v>
      </c>
      <c r="W41" s="64">
        <f t="shared" si="11"/>
        <v>42149822.751825854</v>
      </c>
      <c r="Z41" s="11">
        <f t="shared" si="12"/>
        <v>0</v>
      </c>
    </row>
    <row r="42" spans="1:26">
      <c r="A42" s="74" t="s">
        <v>114</v>
      </c>
      <c r="B42" s="75" t="str">
        <f>IF(ISNA(VLOOKUP($A42,'[1]Coding (Do not delete)'!$A$7:$K$656,3,FALSE))=TRUE,0,VLOOKUP($A42,'[1]Coding (Do not delete)'!$A$7:$K$656,8,FALSE))</f>
        <v>JE#  T049  Goodwill Amortization</v>
      </c>
      <c r="C42" s="65">
        <f>IF(ISNA(VLOOKUP($A42,'[1]Coding (Do not delete)'!$A$7:$K$656,5,FALSE))=TRUE,0,VLOOKUP($A42,'[1]Coding (Do not delete)'!$A$7:$K$656,5,FALSE))</f>
        <v>108000</v>
      </c>
      <c r="D42" s="65" t="s">
        <v>93</v>
      </c>
      <c r="E42" s="65" t="s">
        <v>113</v>
      </c>
      <c r="F42" s="79"/>
      <c r="G42" s="61">
        <v>0</v>
      </c>
      <c r="H42" s="56">
        <v>0</v>
      </c>
      <c r="I42" s="56"/>
      <c r="J42" s="58">
        <v>0</v>
      </c>
      <c r="K42" s="56">
        <v>0</v>
      </c>
      <c r="L42" s="56">
        <v>0</v>
      </c>
      <c r="M42" s="61">
        <f t="shared" si="7"/>
        <v>0</v>
      </c>
      <c r="N42" s="56">
        <f>IF(ISNA(VLOOKUP($B42,'[1]Current Provision - HYP'!$A$10:$BP$201,$E$5,FALSE))=TRUE,0,VLOOKUP($B42,'[1]Current Provision - HYP'!$A$10:$BP$201,$E$5,FALSE))</f>
        <v>0</v>
      </c>
      <c r="O42" s="56">
        <v>0</v>
      </c>
      <c r="P42" s="58">
        <v>0</v>
      </c>
      <c r="Q42" s="58">
        <v>0</v>
      </c>
      <c r="R42" s="58">
        <v>0</v>
      </c>
      <c r="S42" s="61">
        <f t="shared" si="8"/>
        <v>0</v>
      </c>
      <c r="T42" s="56"/>
      <c r="U42" s="63">
        <f t="shared" si="9"/>
        <v>0</v>
      </c>
      <c r="V42" s="56">
        <f t="shared" si="10"/>
        <v>0</v>
      </c>
      <c r="W42" s="64">
        <f t="shared" si="11"/>
        <v>0</v>
      </c>
      <c r="Z42" s="11">
        <f t="shared" si="12"/>
        <v>0</v>
      </c>
    </row>
    <row r="43" spans="1:26">
      <c r="A43" s="74" t="s">
        <v>115</v>
      </c>
      <c r="B43" s="75" t="str">
        <f>IF(ISNA(VLOOKUP($A43,'[1]Coding (Do not delete)'!$A$7:$K$656,3,FALSE))=TRUE,0,VLOOKUP($A43,'[1]Coding (Do not delete)'!$A$7:$K$656,8,FALSE))</f>
        <v>JE#  T060  Gains and Losses (Disp 1)</v>
      </c>
      <c r="C43" s="65">
        <f>IF(ISNA(VLOOKUP($A43,'[1]Coding (Do not delete)'!$A$7:$K$656,5,FALSE))=TRUE,0,VLOOKUP($A43,'[1]Coding (Do not delete)'!$A$7:$K$656,5,FALSE))</f>
        <v>108000</v>
      </c>
      <c r="D43" s="65" t="s">
        <v>93</v>
      </c>
      <c r="E43" s="65" t="s">
        <v>113</v>
      </c>
      <c r="F43" s="79"/>
      <c r="G43" s="61">
        <v>-4659</v>
      </c>
      <c r="H43" s="56">
        <v>0</v>
      </c>
      <c r="I43" s="56"/>
      <c r="J43" s="58">
        <v>0</v>
      </c>
      <c r="K43" s="56">
        <v>0</v>
      </c>
      <c r="L43" s="56">
        <v>0</v>
      </c>
      <c r="M43" s="61">
        <f t="shared" si="7"/>
        <v>-4659</v>
      </c>
      <c r="N43" s="56">
        <f>IF(ISNA(VLOOKUP($B43,'[1]Current Provision - HYP'!$A$10:$BP$201,$E$5,FALSE))=TRUE,0,VLOOKUP($B43,'[1]Current Provision - HYP'!$A$10:$BP$201,$E$5,FALSE))</f>
        <v>0</v>
      </c>
      <c r="O43" s="56">
        <v>0</v>
      </c>
      <c r="P43" s="58">
        <v>0</v>
      </c>
      <c r="Q43" s="58">
        <v>0</v>
      </c>
      <c r="R43" s="58">
        <v>0</v>
      </c>
      <c r="S43" s="61">
        <f t="shared" si="8"/>
        <v>-4659</v>
      </c>
      <c r="T43" s="56"/>
      <c r="U43" s="63">
        <f t="shared" si="9"/>
        <v>0</v>
      </c>
      <c r="V43" s="56">
        <f t="shared" si="10"/>
        <v>1812.3509999999999</v>
      </c>
      <c r="W43" s="64">
        <f t="shared" si="11"/>
        <v>-1812.3509999999999</v>
      </c>
      <c r="Z43" s="11">
        <f t="shared" si="12"/>
        <v>0</v>
      </c>
    </row>
    <row r="44" spans="1:26">
      <c r="A44" s="74" t="s">
        <v>116</v>
      </c>
      <c r="B44" s="75" t="str">
        <f>IF(ISNA(VLOOKUP($A44,'[1]Coding (Do not delete)'!$A$7:$K$656,3,FALSE))=TRUE,0,VLOOKUP($A44,'[1]Coding (Do not delete)'!$A$7:$K$656,8,FALSE))</f>
        <v>JE#  T062  Abandonment Losses (Disp 3)</v>
      </c>
      <c r="C44" s="65">
        <f>IF(ISNA(VLOOKUP($A44,'[1]Coding (Do not delete)'!$A$7:$K$656,5,FALSE))=TRUE,0,VLOOKUP($A44,'[1]Coding (Do not delete)'!$A$7:$K$656,5,FALSE))</f>
        <v>108000</v>
      </c>
      <c r="D44" s="65" t="s">
        <v>93</v>
      </c>
      <c r="E44" s="65" t="s">
        <v>113</v>
      </c>
      <c r="F44" s="79"/>
      <c r="G44" s="61">
        <v>-2559840.7374570332</v>
      </c>
      <c r="H44" s="56">
        <v>1516870.0976770329</v>
      </c>
      <c r="I44" s="56"/>
      <c r="J44" s="58">
        <v>0</v>
      </c>
      <c r="K44" s="56">
        <v>0</v>
      </c>
      <c r="L44" s="56">
        <v>0</v>
      </c>
      <c r="M44" s="61">
        <f t="shared" si="7"/>
        <v>-1042970.6397800003</v>
      </c>
      <c r="N44" s="56">
        <f>IF(ISNA(VLOOKUP($B44,'[1]Current Provision - HYP'!$A$10:$BP$201,$E$5,FALSE))=TRUE,0,VLOOKUP($B44,'[1]Current Provision - HYP'!$A$10:$BP$201,$E$5,FALSE))</f>
        <v>-345887.67041244084</v>
      </c>
      <c r="O44" s="56">
        <v>0</v>
      </c>
      <c r="P44" s="58">
        <v>0</v>
      </c>
      <c r="Q44" s="58">
        <v>0</v>
      </c>
      <c r="R44" s="58">
        <v>0</v>
      </c>
      <c r="S44" s="61">
        <f t="shared" si="8"/>
        <v>-1388858.3101924411</v>
      </c>
      <c r="T44" s="56"/>
      <c r="U44" s="63">
        <f t="shared" si="9"/>
        <v>0</v>
      </c>
      <c r="V44" s="56">
        <f t="shared" si="10"/>
        <v>540265.88266485953</v>
      </c>
      <c r="W44" s="64">
        <f t="shared" si="11"/>
        <v>-540265.88266485953</v>
      </c>
      <c r="Z44" s="11">
        <f t="shared" si="12"/>
        <v>0</v>
      </c>
    </row>
    <row r="45" spans="1:26">
      <c r="A45" s="74" t="s">
        <v>117</v>
      </c>
      <c r="B45" s="75" t="str">
        <f>IF(ISNA(VLOOKUP($A45,'[1]Coding (Do not delete)'!$A$7:$K$656,3,FALSE))=TRUE,0,VLOOKUP($A45,'[1]Coding (Do not delete)'!$A$7:$K$656,8,FALSE))</f>
        <v>JE#  T063  Cost of Removal (Disp 4)</v>
      </c>
      <c r="C45" s="65">
        <f>IF(ISNA(VLOOKUP($A45,'[1]Coding (Do not delete)'!$A$7:$K$656,5,FALSE))=TRUE,0,VLOOKUP($A45,'[1]Coding (Do not delete)'!$A$7:$K$656,5,FALSE))</f>
        <v>108000</v>
      </c>
      <c r="D45" s="65" t="s">
        <v>93</v>
      </c>
      <c r="E45" s="65" t="s">
        <v>118</v>
      </c>
      <c r="F45" s="79"/>
      <c r="G45" s="61">
        <v>11260699</v>
      </c>
      <c r="H45" s="56">
        <v>0</v>
      </c>
      <c r="I45" s="56"/>
      <c r="J45" s="58">
        <v>0</v>
      </c>
      <c r="K45" s="56">
        <v>0</v>
      </c>
      <c r="L45" s="56">
        <v>0</v>
      </c>
      <c r="M45" s="61">
        <f t="shared" si="7"/>
        <v>11260699</v>
      </c>
      <c r="N45" s="56">
        <f>IF(ISNA(VLOOKUP($B45,'[1]Current Provision - HYP'!$A$10:$BP$201,$E$5,FALSE))=TRUE,0,VLOOKUP($B45,'[1]Current Provision - HYP'!$A$10:$BP$201,$E$5,FALSE))</f>
        <v>1246246.8799999999</v>
      </c>
      <c r="O45" s="56">
        <v>0</v>
      </c>
      <c r="P45" s="58">
        <v>0</v>
      </c>
      <c r="Q45" s="58">
        <v>0</v>
      </c>
      <c r="R45" s="58">
        <v>0</v>
      </c>
      <c r="S45" s="61">
        <f t="shared" si="8"/>
        <v>12506945.879999999</v>
      </c>
      <c r="T45" s="56"/>
      <c r="U45" s="63">
        <f t="shared" si="9"/>
        <v>4865201.9473199993</v>
      </c>
      <c r="V45" s="56">
        <f t="shared" si="10"/>
        <v>0</v>
      </c>
      <c r="W45" s="64">
        <f t="shared" si="11"/>
        <v>4865201.9473199993</v>
      </c>
      <c r="Z45" s="11">
        <f t="shared" si="12"/>
        <v>0</v>
      </c>
    </row>
    <row r="46" spans="1:26">
      <c r="A46" s="74" t="s">
        <v>119</v>
      </c>
      <c r="B46" s="75" t="str">
        <f>IF(ISNA(VLOOKUP($A46,'[1]Coding (Do not delete)'!$A$7:$K$656,3,FALSE))=TRUE,0,VLOOKUP($A46,'[1]Coding (Do not delete)'!$A$7:$K$656,8,FALSE))</f>
        <v>JE#  ZZ04  Def Hist - Depreciation a/c 108000</v>
      </c>
      <c r="C46" s="54">
        <f>IF(ISNA(VLOOKUP($A46,'[1]Coding (Do not delete)'!$A$7:$K$656,5,FALSE))=TRUE,0,VLOOKUP($A46,'[1]Coding (Do not delete)'!$A$7:$K$656,5,FALSE))</f>
        <v>108000</v>
      </c>
      <c r="D46" s="54" t="s">
        <v>93</v>
      </c>
      <c r="E46" s="54" t="s">
        <v>113</v>
      </c>
      <c r="F46" s="79"/>
      <c r="G46" s="61">
        <v>-207037818.41</v>
      </c>
      <c r="H46" s="56">
        <v>0</v>
      </c>
      <c r="I46" s="56"/>
      <c r="J46" s="58">
        <v>0</v>
      </c>
      <c r="K46" s="56">
        <v>0</v>
      </c>
      <c r="L46" s="56">
        <v>0</v>
      </c>
      <c r="M46" s="61">
        <f t="shared" si="7"/>
        <v>-207037818.41</v>
      </c>
      <c r="N46" s="56">
        <f>IF(ISNA(VLOOKUP($B46,'[1]Current Provision - HYP'!$A$10:$BP$201,$E$5,FALSE))=TRUE,0,VLOOKUP($B46,'[1]Current Provision - HYP'!$A$10:$BP$201,$E$5,FALSE))</f>
        <v>0</v>
      </c>
      <c r="O46" s="56">
        <v>0</v>
      </c>
      <c r="P46" s="58">
        <v>0</v>
      </c>
      <c r="Q46" s="58">
        <v>0</v>
      </c>
      <c r="R46" s="58">
        <v>0</v>
      </c>
      <c r="S46" s="61">
        <f t="shared" si="8"/>
        <v>-207037818.41</v>
      </c>
      <c r="T46" s="56"/>
      <c r="U46" s="63">
        <f t="shared" si="9"/>
        <v>0</v>
      </c>
      <c r="V46" s="56">
        <f t="shared" si="10"/>
        <v>80537711.361489996</v>
      </c>
      <c r="W46" s="64">
        <f t="shared" si="11"/>
        <v>-80537711.361489996</v>
      </c>
      <c r="X46" s="56"/>
      <c r="Y46" s="56"/>
      <c r="Z46" s="83">
        <f t="shared" si="12"/>
        <v>0</v>
      </c>
    </row>
    <row r="47" spans="1:26">
      <c r="A47" s="74" t="s">
        <v>120</v>
      </c>
      <c r="B47" s="75" t="str">
        <f>IF(ISNA(VLOOKUP($A47,'[1]Coding (Do not delete)'!$A$7:$K$656,3,FALSE))=TRUE,0,VLOOKUP($A47,'[1]Coding (Do not delete)'!$A$7:$K$656,8,FALSE))</f>
        <v>JE#  ZZ07  Def Hist - Nonutility Proprety a/c 121000</v>
      </c>
      <c r="C47" s="54">
        <f>IF(ISNA(VLOOKUP($A47,'[1]Coding (Do not delete)'!$A$7:$K$656,5,FALSE))=TRUE,0,VLOOKUP($A47,'[1]Coding (Do not delete)'!$A$7:$K$656,5,FALSE))</f>
        <v>121000</v>
      </c>
      <c r="D47" s="54" t="s">
        <v>93</v>
      </c>
      <c r="E47" s="54" t="s">
        <v>90</v>
      </c>
      <c r="F47" s="79"/>
      <c r="G47" s="61">
        <v>0</v>
      </c>
      <c r="H47" s="56">
        <v>0</v>
      </c>
      <c r="I47" s="56"/>
      <c r="J47" s="58">
        <v>0</v>
      </c>
      <c r="K47" s="56">
        <v>0</v>
      </c>
      <c r="L47" s="56">
        <v>0</v>
      </c>
      <c r="M47" s="61">
        <f t="shared" si="7"/>
        <v>0</v>
      </c>
      <c r="N47" s="56">
        <f>IF(ISNA(VLOOKUP($B47,'[1]Current Provision - HYP'!$A$10:$BP$201,$E$5,FALSE))=TRUE,0,VLOOKUP($B47,'[1]Current Provision - HYP'!$A$10:$BP$201,$E$5,FALSE))</f>
        <v>0</v>
      </c>
      <c r="O47" s="56">
        <v>0</v>
      </c>
      <c r="P47" s="58">
        <v>0</v>
      </c>
      <c r="Q47" s="58">
        <v>0</v>
      </c>
      <c r="R47" s="58">
        <v>0</v>
      </c>
      <c r="S47" s="61">
        <f t="shared" si="8"/>
        <v>0</v>
      </c>
      <c r="T47" s="56"/>
      <c r="U47" s="63">
        <f t="shared" si="9"/>
        <v>0</v>
      </c>
      <c r="V47" s="56">
        <f t="shared" si="10"/>
        <v>0</v>
      </c>
      <c r="W47" s="64">
        <f t="shared" si="11"/>
        <v>0</v>
      </c>
      <c r="X47" s="56"/>
      <c r="Y47" s="56"/>
      <c r="Z47" s="83">
        <f t="shared" si="12"/>
        <v>0</v>
      </c>
    </row>
    <row r="48" spans="1:26">
      <c r="A48" s="74" t="s">
        <v>121</v>
      </c>
      <c r="B48" s="75" t="str">
        <f>IF(ISNA(VLOOKUP($A48,'[1]Coding (Do not delete)'!$A$7:$K$656,3,FALSE))=TRUE,0,VLOOKUP($A48,'[1]Coding (Do not delete)'!$A$7:$K$656,8,FALSE))</f>
        <v>JE#  ZZ08  Def Hist - Acc Depr Nonutility Prop a/c 122000</v>
      </c>
      <c r="C48" s="54">
        <f>IF(ISNA(VLOOKUP($A48,'[1]Coding (Do not delete)'!$A$7:$K$656,5,FALSE))=TRUE,0,VLOOKUP($A48,'[1]Coding (Do not delete)'!$A$7:$K$656,5,FALSE))</f>
        <v>122000</v>
      </c>
      <c r="D48" s="54" t="s">
        <v>93</v>
      </c>
      <c r="E48" s="54" t="s">
        <v>113</v>
      </c>
      <c r="F48" s="79"/>
      <c r="G48" s="61">
        <v>0</v>
      </c>
      <c r="H48" s="56">
        <v>0</v>
      </c>
      <c r="I48" s="56"/>
      <c r="J48" s="58">
        <v>0</v>
      </c>
      <c r="K48" s="56">
        <v>0</v>
      </c>
      <c r="L48" s="56">
        <v>0</v>
      </c>
      <c r="M48" s="61">
        <f t="shared" si="7"/>
        <v>0</v>
      </c>
      <c r="N48" s="56">
        <f>IF(ISNA(VLOOKUP($B48,'[1]Current Provision - HYP'!$A$10:$BP$201,$E$5,FALSE))=TRUE,0,VLOOKUP($B48,'[1]Current Provision - HYP'!$A$10:$BP$201,$E$5,FALSE))</f>
        <v>0</v>
      </c>
      <c r="O48" s="56">
        <v>0</v>
      </c>
      <c r="P48" s="58">
        <v>0</v>
      </c>
      <c r="Q48" s="58">
        <v>0</v>
      </c>
      <c r="R48" s="58">
        <v>0</v>
      </c>
      <c r="S48" s="61">
        <f t="shared" si="8"/>
        <v>0</v>
      </c>
      <c r="T48" s="56"/>
      <c r="U48" s="63">
        <f t="shared" si="9"/>
        <v>0</v>
      </c>
      <c r="V48" s="56">
        <f t="shared" si="10"/>
        <v>0</v>
      </c>
      <c r="W48" s="64">
        <f t="shared" si="11"/>
        <v>0</v>
      </c>
      <c r="X48" s="56"/>
      <c r="Y48" s="56"/>
      <c r="Z48" s="83">
        <f t="shared" si="12"/>
        <v>0</v>
      </c>
    </row>
    <row r="49" spans="1:26">
      <c r="A49" s="74" t="s">
        <v>122</v>
      </c>
      <c r="B49" s="75" t="str">
        <f>IF(ISNA(VLOOKUP($A49,'[1]Coding (Do not delete)'!$A$7:$K$656,3,FALSE))=TRUE,0,VLOOKUP($A49,'[1]Coding (Do not delete)'!$A$7:$K$656,8,FALSE))</f>
        <v>JE#  T050  Intangible Indefinite Life</v>
      </c>
      <c r="C49" s="65">
        <f>IF(ISNA(VLOOKUP($A49,'[1]Coding (Do not delete)'!$A$7:$K$656,5,FALSE))=TRUE,0,VLOOKUP($A49,'[1]Coding (Do not delete)'!$A$7:$K$656,5,FALSE))</f>
        <v>123131</v>
      </c>
      <c r="D49" s="65" t="s">
        <v>93</v>
      </c>
      <c r="E49" s="65" t="s">
        <v>123</v>
      </c>
      <c r="F49" s="79"/>
      <c r="G49" s="61">
        <v>94620</v>
      </c>
      <c r="H49" s="56">
        <v>0</v>
      </c>
      <c r="I49" s="56"/>
      <c r="J49" s="58">
        <v>0</v>
      </c>
      <c r="K49" s="56">
        <v>0</v>
      </c>
      <c r="L49" s="56">
        <v>0</v>
      </c>
      <c r="M49" s="61">
        <f t="shared" si="7"/>
        <v>94620</v>
      </c>
      <c r="N49" s="56">
        <f>IF(ISNA(VLOOKUP($B49,'[1]Current Provision - HYP'!$A$10:$BP$201,$E$5,FALSE))=TRUE,0,VLOOKUP($B49,'[1]Current Provision - HYP'!$A$10:$BP$201,$E$5,FALSE))</f>
        <v>0</v>
      </c>
      <c r="O49" s="56">
        <v>0</v>
      </c>
      <c r="P49" s="58">
        <v>0</v>
      </c>
      <c r="Q49" s="58">
        <v>0</v>
      </c>
      <c r="R49" s="58">
        <v>0</v>
      </c>
      <c r="S49" s="61">
        <f t="shared" si="8"/>
        <v>94620</v>
      </c>
      <c r="T49" s="56"/>
      <c r="U49" s="63">
        <f t="shared" si="9"/>
        <v>36807.179999999993</v>
      </c>
      <c r="V49" s="56">
        <f t="shared" si="10"/>
        <v>0</v>
      </c>
      <c r="W49" s="64">
        <f t="shared" si="11"/>
        <v>36807.179999999993</v>
      </c>
      <c r="Z49" s="11">
        <f t="shared" si="12"/>
        <v>0</v>
      </c>
    </row>
    <row r="50" spans="1:26">
      <c r="A50" s="74" t="s">
        <v>124</v>
      </c>
      <c r="B50" s="75" t="str">
        <f>IF(ISNA(VLOOKUP($A50,'[1]Coding (Do not delete)'!$A$7:$K$656,3,FALSE))=TRUE,0,VLOOKUP($A50,'[1]Coding (Do not delete)'!$A$7:$K$656,8,FALSE))</f>
        <v>JE#  T048  Reg Asset - AFUDC Debt (Depr 4)</v>
      </c>
      <c r="C50" s="65">
        <f>IF(ISNA(VLOOKUP($A50,'[1]Coding (Do not delete)'!$A$7:$K$656,5,FALSE))=TRUE,0,VLOOKUP($A50,'[1]Coding (Do not delete)'!$A$7:$K$656,5,FALSE))</f>
        <v>108190</v>
      </c>
      <c r="D50" s="65" t="s">
        <v>93</v>
      </c>
      <c r="E50" s="65" t="s">
        <v>113</v>
      </c>
      <c r="F50" s="79"/>
      <c r="G50" s="61">
        <v>117289</v>
      </c>
      <c r="H50" s="56">
        <v>-6900</v>
      </c>
      <c r="I50" s="56"/>
      <c r="J50" s="58">
        <v>0</v>
      </c>
      <c r="K50" s="56">
        <v>0</v>
      </c>
      <c r="L50" s="56">
        <v>0</v>
      </c>
      <c r="M50" s="61">
        <f t="shared" si="7"/>
        <v>110389</v>
      </c>
      <c r="N50" s="56">
        <f>IF(ISNA(VLOOKUP($B50,'[1]Current Provision - HYP'!$A$10:$BP$201,$E$5,FALSE))=TRUE,0,VLOOKUP($B50,'[1]Current Provision - HYP'!$A$10:$BP$201,$E$5,FALSE))</f>
        <v>6900</v>
      </c>
      <c r="O50" s="56">
        <v>0</v>
      </c>
      <c r="P50" s="58">
        <v>0</v>
      </c>
      <c r="Q50" s="58">
        <v>0</v>
      </c>
      <c r="R50" s="58">
        <v>0</v>
      </c>
      <c r="S50" s="61">
        <f t="shared" si="8"/>
        <v>117289</v>
      </c>
      <c r="T50" s="56"/>
      <c r="U50" s="63">
        <f t="shared" si="9"/>
        <v>45625.420999999995</v>
      </c>
      <c r="V50" s="56">
        <f t="shared" si="10"/>
        <v>0</v>
      </c>
      <c r="W50" s="64">
        <f t="shared" si="11"/>
        <v>45625.420999999995</v>
      </c>
      <c r="Z50" s="11">
        <f t="shared" si="12"/>
        <v>0</v>
      </c>
    </row>
    <row r="51" spans="1:26">
      <c r="A51" s="74" t="s">
        <v>125</v>
      </c>
      <c r="B51" s="75" t="str">
        <f>IF(ISNA(VLOOKUP($A51,'[1]Coding (Do not delete)'!$A$7:$K$656,3,FALSE))=TRUE,0,VLOOKUP($A51,'[1]Coding (Do not delete)'!$A$7:$K$656,8,FALSE))</f>
        <v>JE#  T075  Depletion</v>
      </c>
      <c r="C51" s="65">
        <f>IF(ISNA(VLOOKUP($A51,'[1]Coding (Do not delete)'!$A$7:$K$656,5,FALSE))=TRUE,0,VLOOKUP($A51,'[1]Coding (Do not delete)'!$A$7:$K$656,5,FALSE))</f>
        <v>108400</v>
      </c>
      <c r="D51" s="65" t="s">
        <v>93</v>
      </c>
      <c r="E51" s="65" t="s">
        <v>126</v>
      </c>
      <c r="F51" s="79"/>
      <c r="G51" s="61">
        <v>0</v>
      </c>
      <c r="H51" s="56">
        <v>0</v>
      </c>
      <c r="I51" s="56"/>
      <c r="J51" s="58">
        <v>0</v>
      </c>
      <c r="K51" s="56">
        <v>0</v>
      </c>
      <c r="L51" s="56">
        <v>0</v>
      </c>
      <c r="M51" s="61">
        <f t="shared" si="7"/>
        <v>0</v>
      </c>
      <c r="N51" s="56">
        <f>IF(ISNA(VLOOKUP($B51,'[1]Current Provision - HYP'!$A$10:$BP$201,$E$5,FALSE))=TRUE,0,VLOOKUP($B51,'[1]Current Provision - HYP'!$A$10:$BP$201,$E$5,FALSE))</f>
        <v>0</v>
      </c>
      <c r="O51" s="56">
        <v>0</v>
      </c>
      <c r="P51" s="58">
        <v>0</v>
      </c>
      <c r="Q51" s="58">
        <v>0</v>
      </c>
      <c r="R51" s="58">
        <v>0</v>
      </c>
      <c r="S51" s="61">
        <f t="shared" si="8"/>
        <v>0</v>
      </c>
      <c r="T51" s="56"/>
      <c r="U51" s="63">
        <f t="shared" si="9"/>
        <v>0</v>
      </c>
      <c r="V51" s="56">
        <f t="shared" si="10"/>
        <v>0</v>
      </c>
      <c r="W51" s="64">
        <f t="shared" si="11"/>
        <v>0</v>
      </c>
      <c r="Z51" s="11">
        <f t="shared" si="12"/>
        <v>0</v>
      </c>
    </row>
    <row r="52" spans="1:26">
      <c r="A52" s="74" t="s">
        <v>127</v>
      </c>
      <c r="B52" s="75" t="str">
        <f>IF(ISNA(VLOOKUP($A52,'[1]Coding (Do not delete)'!$A$7:$K$656,3,FALSE))=TRUE,0,VLOOKUP($A52,'[1]Coding (Do not delete)'!$A$7:$K$656,8,FALSE))</f>
        <v>JE#  ZZ05  Def Hist - Amortization a/c 110000</v>
      </c>
      <c r="C52" s="54">
        <f>IF(ISNA(VLOOKUP($A52,'[1]Coding (Do not delete)'!$A$7:$K$656,5,FALSE))=TRUE,0,VLOOKUP($A52,'[1]Coding (Do not delete)'!$A$7:$K$656,5,FALSE))</f>
        <v>110000</v>
      </c>
      <c r="D52" s="54" t="s">
        <v>93</v>
      </c>
      <c r="E52" s="54" t="s">
        <v>90</v>
      </c>
      <c r="F52" s="79"/>
      <c r="G52" s="61">
        <v>0</v>
      </c>
      <c r="H52" s="56">
        <v>0</v>
      </c>
      <c r="I52" s="56"/>
      <c r="J52" s="58">
        <v>0</v>
      </c>
      <c r="K52" s="56">
        <v>0</v>
      </c>
      <c r="L52" s="56">
        <v>0</v>
      </c>
      <c r="M52" s="61">
        <f t="shared" si="7"/>
        <v>0</v>
      </c>
      <c r="N52" s="56">
        <f>IF(ISNA(VLOOKUP($B52,'[1]Current Provision - HYP'!$A$10:$BP$201,$E$5,FALSE))=TRUE,0,VLOOKUP($B52,'[1]Current Provision - HYP'!$A$10:$BP$201,$E$5,FALSE))</f>
        <v>0</v>
      </c>
      <c r="O52" s="56">
        <v>0</v>
      </c>
      <c r="P52" s="58">
        <v>0</v>
      </c>
      <c r="Q52" s="58">
        <v>0</v>
      </c>
      <c r="R52" s="58">
        <v>0</v>
      </c>
      <c r="S52" s="61">
        <f t="shared" si="8"/>
        <v>0</v>
      </c>
      <c r="T52" s="56"/>
      <c r="U52" s="63">
        <f t="shared" si="9"/>
        <v>0</v>
      </c>
      <c r="V52" s="56">
        <f t="shared" si="10"/>
        <v>0</v>
      </c>
      <c r="W52" s="64">
        <f t="shared" si="11"/>
        <v>0</v>
      </c>
      <c r="X52" s="83"/>
      <c r="Y52" s="83"/>
      <c r="Z52" s="83">
        <f t="shared" si="12"/>
        <v>0</v>
      </c>
    </row>
    <row r="53" spans="1:26">
      <c r="A53" s="74" t="s">
        <v>128</v>
      </c>
      <c r="B53" s="75" t="str">
        <f>IF(ISNA(VLOOKUP($A53,'[1]Coding (Do not delete)'!$A$7:$K$656,3,FALSE))=TRUE,0,VLOOKUP($A53,'[1]Coding (Do not delete)'!$A$7:$K$656,8,FALSE))</f>
        <v>JE#  T070  Amortization of UPAA</v>
      </c>
      <c r="C53" s="65">
        <f>IF(ISNA(VLOOKUP($A53,'[1]Coding (Do not delete)'!$A$7:$K$656,5,FALSE))=TRUE,0,VLOOKUP($A53,'[1]Coding (Do not delete)'!$A$7:$K$656,5,FALSE))</f>
        <v>114000</v>
      </c>
      <c r="D53" s="65" t="s">
        <v>93</v>
      </c>
      <c r="E53" s="65" t="s">
        <v>123</v>
      </c>
      <c r="F53" s="79"/>
      <c r="G53" s="61">
        <v>-24686.85</v>
      </c>
      <c r="H53" s="56">
        <v>0</v>
      </c>
      <c r="I53" s="56"/>
      <c r="J53" s="58">
        <v>0</v>
      </c>
      <c r="K53" s="56">
        <v>0</v>
      </c>
      <c r="L53" s="56">
        <v>0</v>
      </c>
      <c r="M53" s="61">
        <f t="shared" si="7"/>
        <v>-24686.85</v>
      </c>
      <c r="N53" s="56">
        <f>IF(ISNA(VLOOKUP($B53,'[1]Current Provision - HYP'!$A$10:$BP$201,$E$5,FALSE))=TRUE,0,VLOOKUP($B53,'[1]Current Provision - HYP'!$A$10:$BP$201,$E$5,FALSE))</f>
        <v>0</v>
      </c>
      <c r="O53" s="56">
        <v>0</v>
      </c>
      <c r="P53" s="58">
        <v>0</v>
      </c>
      <c r="Q53" s="58">
        <v>0</v>
      </c>
      <c r="R53" s="58">
        <v>0</v>
      </c>
      <c r="S53" s="61">
        <f t="shared" si="8"/>
        <v>-24686.85</v>
      </c>
      <c r="T53" s="56"/>
      <c r="U53" s="63">
        <f t="shared" si="9"/>
        <v>0</v>
      </c>
      <c r="V53" s="56">
        <f t="shared" si="10"/>
        <v>9603.1846499999992</v>
      </c>
      <c r="W53" s="64">
        <f t="shared" si="11"/>
        <v>-9603.1846499999992</v>
      </c>
      <c r="Z53" s="11">
        <f t="shared" si="12"/>
        <v>0</v>
      </c>
    </row>
    <row r="54" spans="1:26">
      <c r="A54" s="74" t="s">
        <v>129</v>
      </c>
      <c r="B54" s="75" t="str">
        <f>IF(ISNA(VLOOKUP($A54,'[1]Coding (Do not delete)'!$A$7:$K$656,3,FALSE))=TRUE,0,VLOOKUP($A54,'[1]Coding (Do not delete)'!$A$7:$K$656,8,FALSE))</f>
        <v>JE#  ZZ06  Def Hist - Amort UPAA a/c 114000</v>
      </c>
      <c r="C54" s="54">
        <f>IF(ISNA(VLOOKUP($A54,'[1]Coding (Do not delete)'!$A$7:$K$656,5,FALSE))=TRUE,0,VLOOKUP($A54,'[1]Coding (Do not delete)'!$A$7:$K$656,5,FALSE))</f>
        <v>114000</v>
      </c>
      <c r="D54" s="54" t="s">
        <v>93</v>
      </c>
      <c r="E54" s="54" t="s">
        <v>123</v>
      </c>
      <c r="F54" s="79"/>
      <c r="G54" s="61">
        <v>0</v>
      </c>
      <c r="H54" s="56">
        <v>0</v>
      </c>
      <c r="I54" s="56"/>
      <c r="J54" s="58">
        <v>0</v>
      </c>
      <c r="K54" s="56">
        <v>0</v>
      </c>
      <c r="L54" s="56">
        <v>0</v>
      </c>
      <c r="M54" s="61">
        <f t="shared" si="7"/>
        <v>0</v>
      </c>
      <c r="N54" s="56">
        <f>IF(ISNA(VLOOKUP($B54,'[1]Current Provision - HYP'!$A$10:$BP$201,$E$5,FALSE))=TRUE,0,VLOOKUP($B54,'[1]Current Provision - HYP'!$A$10:$BP$201,$E$5,FALSE))</f>
        <v>0</v>
      </c>
      <c r="O54" s="56">
        <v>0</v>
      </c>
      <c r="P54" s="58">
        <v>0</v>
      </c>
      <c r="Q54" s="58">
        <v>0</v>
      </c>
      <c r="R54" s="58">
        <v>0</v>
      </c>
      <c r="S54" s="61">
        <f t="shared" si="8"/>
        <v>0</v>
      </c>
      <c r="T54" s="56"/>
      <c r="U54" s="63">
        <f t="shared" si="9"/>
        <v>0</v>
      </c>
      <c r="V54" s="56">
        <f t="shared" si="10"/>
        <v>0</v>
      </c>
      <c r="W54" s="64">
        <f t="shared" si="11"/>
        <v>0</v>
      </c>
      <c r="X54" s="82"/>
      <c r="Y54" s="82"/>
      <c r="Z54" s="83">
        <f t="shared" si="12"/>
        <v>0</v>
      </c>
    </row>
    <row r="55" spans="1:26">
      <c r="A55" s="74" t="s">
        <v>130</v>
      </c>
      <c r="B55" s="75" t="str">
        <f>IF(ISNA(VLOOKUP($A55,'[1]Coding (Do not delete)'!$A$7:$K$656,3,FALSE))=TRUE,0,VLOOKUP($A55,'[1]Coding (Do not delete)'!$A$7:$K$656,8,FALSE))</f>
        <v>JE#  ZZ36  Def Hist - Accum Amort UPAA - a/c 115000</v>
      </c>
      <c r="C55" s="65">
        <f>IF(ISNA(VLOOKUP($A55,'[1]Coding (Do not delete)'!$A$7:$K$656,5,FALSE))=TRUE,0,VLOOKUP($A55,'[1]Coding (Do not delete)'!$A$7:$K$656,5,FALSE))</f>
        <v>115000</v>
      </c>
      <c r="D55" s="65" t="s">
        <v>76</v>
      </c>
      <c r="E55" s="65" t="s">
        <v>131</v>
      </c>
      <c r="F55" s="79"/>
      <c r="G55" s="61">
        <v>-376689</v>
      </c>
      <c r="H55" s="56">
        <v>0</v>
      </c>
      <c r="I55" s="56"/>
      <c r="J55" s="58">
        <v>0</v>
      </c>
      <c r="K55" s="56">
        <v>0</v>
      </c>
      <c r="L55" s="56">
        <v>0</v>
      </c>
      <c r="M55" s="61">
        <f t="shared" si="7"/>
        <v>-376689</v>
      </c>
      <c r="N55" s="56">
        <f>IF(ISNA(VLOOKUP($B55,'[1]Current Provision - HYP'!$A$10:$BP$201,$E$5,FALSE))=TRUE,0,VLOOKUP($B55,'[1]Current Provision - HYP'!$A$10:$BP$201,$E$5,FALSE))</f>
        <v>0</v>
      </c>
      <c r="O55" s="56">
        <v>0</v>
      </c>
      <c r="P55" s="58">
        <v>0</v>
      </c>
      <c r="Q55" s="58">
        <v>0</v>
      </c>
      <c r="R55" s="58">
        <v>0</v>
      </c>
      <c r="S55" s="61">
        <f t="shared" si="8"/>
        <v>-376689</v>
      </c>
      <c r="T55" s="56"/>
      <c r="U55" s="63">
        <f t="shared" si="9"/>
        <v>0</v>
      </c>
      <c r="V55" s="56">
        <f t="shared" si="10"/>
        <v>146532.02099999998</v>
      </c>
      <c r="W55" s="64">
        <f t="shared" si="11"/>
        <v>-146532.02099999998</v>
      </c>
      <c r="X55" s="58"/>
      <c r="Z55" s="11">
        <f t="shared" si="12"/>
        <v>0</v>
      </c>
    </row>
    <row r="56" spans="1:26">
      <c r="A56" s="74" t="s">
        <v>132</v>
      </c>
      <c r="B56" s="75" t="str">
        <f>IF(ISNA(VLOOKUP($A56,'[1]Coding (Do not delete)'!$A$7:$K$656,3,FALSE))=TRUE,0,VLOOKUP($A56,'[1]Coding (Do not delete)'!$A$7:$K$656,8,FALSE))</f>
        <v>JE#  ZZ29  Def Hist - Nonutility Property-Land a/c 121100</v>
      </c>
      <c r="C56" s="54">
        <f>IF(ISNA(VLOOKUP($A56,'[1]Coding (Do not delete)'!$A$7:$K$656,5,FALSE))=TRUE,0,VLOOKUP($A56,'[1]Coding (Do not delete)'!$A$7:$K$656,5,FALSE))</f>
        <v>121100</v>
      </c>
      <c r="D56" s="54" t="s">
        <v>76</v>
      </c>
      <c r="E56" s="54" t="s">
        <v>90</v>
      </c>
      <c r="F56" s="79"/>
      <c r="G56" s="61">
        <v>0</v>
      </c>
      <c r="H56" s="56">
        <v>0</v>
      </c>
      <c r="I56" s="56"/>
      <c r="J56" s="58">
        <v>0</v>
      </c>
      <c r="K56" s="56">
        <v>0</v>
      </c>
      <c r="L56" s="56">
        <v>0</v>
      </c>
      <c r="M56" s="61">
        <f t="shared" si="7"/>
        <v>0</v>
      </c>
      <c r="N56" s="56">
        <f>IF(ISNA(VLOOKUP($B56,'[1]Current Provision - HYP'!$A$10:$BP$201,$E$5,FALSE))=TRUE,0,VLOOKUP($B56,'[1]Current Provision - HYP'!$A$10:$BP$201,$E$5,FALSE))</f>
        <v>0</v>
      </c>
      <c r="O56" s="56">
        <v>0</v>
      </c>
      <c r="P56" s="58">
        <v>0</v>
      </c>
      <c r="Q56" s="58">
        <v>0</v>
      </c>
      <c r="R56" s="58">
        <v>0</v>
      </c>
      <c r="S56" s="61">
        <f t="shared" si="8"/>
        <v>0</v>
      </c>
      <c r="T56" s="56"/>
      <c r="U56" s="63">
        <f t="shared" si="9"/>
        <v>0</v>
      </c>
      <c r="V56" s="56">
        <f t="shared" si="10"/>
        <v>0</v>
      </c>
      <c r="W56" s="64">
        <f t="shared" si="11"/>
        <v>0</v>
      </c>
      <c r="X56" s="58"/>
      <c r="Z56" s="11">
        <f t="shared" si="12"/>
        <v>0</v>
      </c>
    </row>
    <row r="57" spans="1:26" ht="15">
      <c r="A57" s="74" t="s">
        <v>133</v>
      </c>
      <c r="B57" s="75" t="str">
        <f>IF(ISNA(VLOOKUP($A57,'[1]Coding (Do not delete)'!$A$7:$K$656,3,FALSE))=TRUE,0,VLOOKUP($A57,'[1]Coding (Do not delete)'!$A$7:$K$656,8,FALSE))</f>
        <v>JE#  T175  Acquisition Costs</v>
      </c>
      <c r="C57" s="54">
        <f>IF(ISNA(VLOOKUP($A57,'[1]Coding (Do not delete)'!$A$7:$K$656,5,FALSE))=TRUE,0,VLOOKUP($A57,'[1]Coding (Do not delete)'!$A$7:$K$656,5,FALSE))</f>
        <v>123140</v>
      </c>
      <c r="D57" s="54" t="s">
        <v>134</v>
      </c>
      <c r="E57" s="54" t="s">
        <v>135</v>
      </c>
      <c r="F57" s="79"/>
      <c r="G57" s="61">
        <v>0</v>
      </c>
      <c r="H57" s="56">
        <v>0</v>
      </c>
      <c r="I57" s="56"/>
      <c r="J57" s="58">
        <v>0</v>
      </c>
      <c r="K57" s="56">
        <v>0</v>
      </c>
      <c r="L57" s="56">
        <v>0</v>
      </c>
      <c r="M57" s="61">
        <f t="shared" si="7"/>
        <v>0</v>
      </c>
      <c r="N57" s="56">
        <f>IF(ISNA(VLOOKUP($B57,'[1]Current Provision - HYP'!$A$10:$BP$201,$E$5,FALSE))=TRUE,0,VLOOKUP($B57,'[1]Current Provision - HYP'!$A$10:$BP$201,$E$5,FALSE))</f>
        <v>0</v>
      </c>
      <c r="O57" s="56">
        <v>0</v>
      </c>
      <c r="P57" s="58">
        <v>0</v>
      </c>
      <c r="Q57" s="58">
        <v>0</v>
      </c>
      <c r="R57" s="58">
        <v>0</v>
      </c>
      <c r="S57" s="61">
        <f t="shared" si="8"/>
        <v>0</v>
      </c>
      <c r="T57" s="56"/>
      <c r="U57" s="63">
        <f t="shared" si="9"/>
        <v>0</v>
      </c>
      <c r="V57" s="56">
        <f t="shared" si="10"/>
        <v>0</v>
      </c>
      <c r="W57" s="64">
        <f t="shared" si="11"/>
        <v>0</v>
      </c>
      <c r="X57" s="77"/>
      <c r="Y57" s="77"/>
      <c r="Z57" s="78">
        <f t="shared" si="12"/>
        <v>0</v>
      </c>
    </row>
    <row r="58" spans="1:26" ht="15">
      <c r="A58" s="74" t="s">
        <v>136</v>
      </c>
      <c r="B58" s="75" t="str">
        <f>IF(ISNA(VLOOKUP($A58,'[1]Coding (Do not delete)'!$A$7:$K$656,3,FALSE))=TRUE,0,VLOOKUP($A58,'[1]Coding (Do not delete)'!$A$7:$K$656,8,FALSE))</f>
        <v>JE#  T170  Deferred Revenue</v>
      </c>
      <c r="C58" s="54">
        <f>IF(ISNA(VLOOKUP($A58,'[1]Coding (Do not delete)'!$A$7:$K$656,5,FALSE))=TRUE,0,VLOOKUP($A58,'[1]Coding (Do not delete)'!$A$7:$K$656,5,FALSE))</f>
        <v>173000</v>
      </c>
      <c r="D58" s="54" t="s">
        <v>76</v>
      </c>
      <c r="E58" s="54" t="s">
        <v>137</v>
      </c>
      <c r="F58" s="79"/>
      <c r="G58" s="61">
        <v>0</v>
      </c>
      <c r="H58" s="56">
        <v>0</v>
      </c>
      <c r="I58" s="56"/>
      <c r="J58" s="58">
        <v>0</v>
      </c>
      <c r="K58" s="56">
        <v>0</v>
      </c>
      <c r="L58" s="56">
        <v>0</v>
      </c>
      <c r="M58" s="61">
        <f t="shared" si="7"/>
        <v>0</v>
      </c>
      <c r="N58" s="56">
        <f>IF(ISNA(VLOOKUP($B58,'[1]Current Provision - HYP'!$A$10:$BP$201,$E$5,FALSE))=TRUE,0,VLOOKUP($B58,'[1]Current Provision - HYP'!$A$10:$BP$201,$E$5,FALSE))</f>
        <v>0</v>
      </c>
      <c r="O58" s="56">
        <v>0</v>
      </c>
      <c r="P58" s="58">
        <v>0</v>
      </c>
      <c r="Q58" s="58">
        <v>0</v>
      </c>
      <c r="R58" s="58">
        <v>0</v>
      </c>
      <c r="S58" s="61">
        <f t="shared" si="8"/>
        <v>0</v>
      </c>
      <c r="T58" s="56"/>
      <c r="U58" s="63">
        <f t="shared" si="9"/>
        <v>0</v>
      </c>
      <c r="V58" s="56">
        <f t="shared" si="10"/>
        <v>0</v>
      </c>
      <c r="W58" s="64">
        <f t="shared" si="11"/>
        <v>0</v>
      </c>
      <c r="X58" s="77"/>
      <c r="Y58" s="77"/>
      <c r="Z58" s="78">
        <f t="shared" si="12"/>
        <v>0</v>
      </c>
    </row>
    <row r="59" spans="1:26" ht="15">
      <c r="A59" s="74" t="s">
        <v>138</v>
      </c>
      <c r="B59" s="75" t="str">
        <f>IF(ISNA(VLOOKUP($A59,'[1]Coding (Do not delete)'!$A$7:$K$656,3,FALSE))=TRUE,0,VLOOKUP($A59,'[1]Coding (Do not delete)'!$A$7:$K$656,8,FALSE))</f>
        <v>JE#  T100  Amortization of Debt Discount</v>
      </c>
      <c r="C59" s="54">
        <f>IF(ISNA(VLOOKUP($A59,'[1]Coding (Do not delete)'!$A$7:$K$656,5,FALSE))=TRUE,0,VLOOKUP($A59,'[1]Coding (Do not delete)'!$A$7:$K$656,5,FALSE))</f>
        <v>181000</v>
      </c>
      <c r="D59" s="54" t="s">
        <v>76</v>
      </c>
      <c r="E59" s="54" t="s">
        <v>139</v>
      </c>
      <c r="F59" s="79"/>
      <c r="G59" s="61">
        <v>0</v>
      </c>
      <c r="H59" s="56">
        <v>0</v>
      </c>
      <c r="I59" s="56"/>
      <c r="J59" s="58">
        <v>0</v>
      </c>
      <c r="K59" s="56">
        <v>0</v>
      </c>
      <c r="L59" s="56">
        <v>0</v>
      </c>
      <c r="M59" s="61">
        <f t="shared" si="7"/>
        <v>0</v>
      </c>
      <c r="N59" s="56">
        <f>IF(ISNA(VLOOKUP($B59,'[1]Current Provision - HYP'!$A$10:$BP$201,$E$5,FALSE))=TRUE,0,VLOOKUP($B59,'[1]Current Provision - HYP'!$A$10:$BP$201,$E$5,FALSE))</f>
        <v>0</v>
      </c>
      <c r="O59" s="56">
        <v>0</v>
      </c>
      <c r="P59" s="58">
        <v>0</v>
      </c>
      <c r="Q59" s="58">
        <v>0</v>
      </c>
      <c r="R59" s="58">
        <v>0</v>
      </c>
      <c r="S59" s="61">
        <f t="shared" si="8"/>
        <v>0</v>
      </c>
      <c r="T59" s="56"/>
      <c r="U59" s="63">
        <f t="shared" si="9"/>
        <v>0</v>
      </c>
      <c r="V59" s="56">
        <f t="shared" si="10"/>
        <v>0</v>
      </c>
      <c r="W59" s="64">
        <f t="shared" si="11"/>
        <v>0</v>
      </c>
      <c r="X59" s="77"/>
      <c r="Y59" s="77"/>
      <c r="Z59" s="78">
        <f t="shared" si="12"/>
        <v>0</v>
      </c>
    </row>
    <row r="60" spans="1:26">
      <c r="A60" s="74" t="s">
        <v>140</v>
      </c>
      <c r="B60" s="75" t="str">
        <f>IF(ISNA(VLOOKUP($A60,'[1]Coding (Do not delete)'!$A$7:$K$656,3,FALSE))=TRUE,0,VLOOKUP($A60,'[1]Coding (Do not delete)'!$A$7:$K$656,8,FALSE))</f>
        <v>JE#  ZZ10  Def Hist - Debt Discount a/c 181000</v>
      </c>
      <c r="C60" s="54">
        <f>IF(ISNA(VLOOKUP($A60,'[1]Coding (Do not delete)'!$A$7:$K$656,5,FALSE))=TRUE,0,VLOOKUP($A60,'[1]Coding (Do not delete)'!$A$7:$K$656,5,FALSE))</f>
        <v>181000</v>
      </c>
      <c r="D60" s="54" t="s">
        <v>76</v>
      </c>
      <c r="E60" s="54" t="s">
        <v>139</v>
      </c>
      <c r="F60" s="79"/>
      <c r="G60" s="61">
        <v>0</v>
      </c>
      <c r="H60" s="56">
        <v>0</v>
      </c>
      <c r="I60" s="56"/>
      <c r="J60" s="58">
        <v>0</v>
      </c>
      <c r="K60" s="56">
        <v>0</v>
      </c>
      <c r="L60" s="56">
        <v>0</v>
      </c>
      <c r="M60" s="61">
        <f t="shared" si="7"/>
        <v>0</v>
      </c>
      <c r="N60" s="56">
        <f>IF(ISNA(VLOOKUP($B60,'[1]Current Provision - HYP'!$A$10:$BP$201,$E$5,FALSE))=TRUE,0,VLOOKUP($B60,'[1]Current Provision - HYP'!$A$10:$BP$201,$E$5,FALSE))</f>
        <v>0</v>
      </c>
      <c r="O60" s="56">
        <v>0</v>
      </c>
      <c r="P60" s="58">
        <v>0</v>
      </c>
      <c r="Q60" s="58">
        <v>0</v>
      </c>
      <c r="R60" s="58">
        <v>0</v>
      </c>
      <c r="S60" s="61">
        <f t="shared" si="8"/>
        <v>0</v>
      </c>
      <c r="T60" s="56"/>
      <c r="U60" s="63">
        <f t="shared" si="9"/>
        <v>0</v>
      </c>
      <c r="V60" s="56">
        <f t="shared" si="10"/>
        <v>0</v>
      </c>
      <c r="W60" s="64">
        <f t="shared" si="11"/>
        <v>0</v>
      </c>
      <c r="X60" s="82"/>
      <c r="Y60" s="82"/>
      <c r="Z60" s="83">
        <f t="shared" si="12"/>
        <v>0</v>
      </c>
    </row>
    <row r="61" spans="1:26">
      <c r="A61" s="74" t="s">
        <v>141</v>
      </c>
      <c r="B61" s="75" t="str">
        <f>IF(ISNA(VLOOKUP($A61,'[1]Coding (Do not delete)'!$A$7:$K$656,3,FALSE))=TRUE,0,VLOOKUP($A61,'[1]Coding (Do not delete)'!$A$7:$K$656,8,FALSE))</f>
        <v>JE#  T040  Rate Case Expense</v>
      </c>
      <c r="C61" s="65">
        <f>IF(ISNA(VLOOKUP($A61,'[1]Coding (Do not delete)'!$A$7:$K$656,5,FALSE))=TRUE,0,VLOOKUP($A61,'[1]Coding (Do not delete)'!$A$7:$K$656,5,FALSE))</f>
        <v>182000</v>
      </c>
      <c r="D61" s="65" t="s">
        <v>76</v>
      </c>
      <c r="E61" s="65" t="s">
        <v>137</v>
      </c>
      <c r="F61" s="79"/>
      <c r="G61" s="61">
        <v>-359517</v>
      </c>
      <c r="H61" s="56">
        <v>0</v>
      </c>
      <c r="I61" s="56"/>
      <c r="J61" s="58">
        <v>0</v>
      </c>
      <c r="K61" s="56">
        <v>0</v>
      </c>
      <c r="L61" s="56">
        <v>0</v>
      </c>
      <c r="M61" s="61">
        <f t="shared" si="7"/>
        <v>-359517</v>
      </c>
      <c r="N61" s="56">
        <f>IF(ISNA(VLOOKUP($B61,'[1]Current Provision - HYP'!$A$10:$BP$201,$E$5,FALSE))=TRUE,0,VLOOKUP($B61,'[1]Current Provision - HYP'!$A$10:$BP$201,$E$5,FALSE))</f>
        <v>50918.99</v>
      </c>
      <c r="O61" s="56">
        <v>0</v>
      </c>
      <c r="P61" s="58">
        <v>0</v>
      </c>
      <c r="Q61" s="58">
        <v>0</v>
      </c>
      <c r="R61" s="58">
        <v>0</v>
      </c>
      <c r="S61" s="61">
        <f t="shared" si="8"/>
        <v>-308598.01</v>
      </c>
      <c r="T61" s="56"/>
      <c r="U61" s="63">
        <f t="shared" si="9"/>
        <v>0</v>
      </c>
      <c r="V61" s="56">
        <f t="shared" si="10"/>
        <v>120044.62589</v>
      </c>
      <c r="W61" s="64">
        <f t="shared" si="11"/>
        <v>-120044.62589</v>
      </c>
      <c r="Z61" s="11">
        <f t="shared" si="12"/>
        <v>0</v>
      </c>
    </row>
    <row r="62" spans="1:26" ht="15">
      <c r="A62" s="74" t="s">
        <v>142</v>
      </c>
      <c r="B62" s="75" t="str">
        <f>IF(ISNA(VLOOKUP($A62,'[1]Coding (Do not delete)'!$A$7:$K$656,3,FALSE))=TRUE,0,VLOOKUP($A62,'[1]Coding (Do not delete)'!$A$7:$K$656,8,FALSE))</f>
        <v>JE#  Z023  Prov/Return Adjustment - Rate Case</v>
      </c>
      <c r="C62" s="54">
        <f>IF(ISNA(VLOOKUP($A62,'[1]Coding (Do not delete)'!$A$7:$K$656,5,FALSE))=TRUE,0,VLOOKUP($A62,'[1]Coding (Do not delete)'!$A$7:$K$656,5,FALSE))</f>
        <v>182000</v>
      </c>
      <c r="D62" s="54" t="s">
        <v>76</v>
      </c>
      <c r="E62" s="54" t="s">
        <v>137</v>
      </c>
      <c r="F62" s="79"/>
      <c r="G62" s="61">
        <v>0</v>
      </c>
      <c r="H62" s="56">
        <v>0</v>
      </c>
      <c r="I62" s="56"/>
      <c r="J62" s="58">
        <v>0</v>
      </c>
      <c r="K62" s="56">
        <v>0</v>
      </c>
      <c r="L62" s="56">
        <v>0</v>
      </c>
      <c r="M62" s="61">
        <f t="shared" si="7"/>
        <v>0</v>
      </c>
      <c r="N62" s="56">
        <f>IF(ISNA(VLOOKUP($B62,'[1]Current Provision - HYP'!$A$10:$BP$201,$E$5,FALSE))=TRUE,0,VLOOKUP($B62,'[1]Current Provision - HYP'!$A$10:$BP$201,$E$5,FALSE))</f>
        <v>0</v>
      </c>
      <c r="O62" s="56">
        <v>0</v>
      </c>
      <c r="P62" s="58">
        <v>0</v>
      </c>
      <c r="Q62" s="58">
        <v>0</v>
      </c>
      <c r="R62" s="58">
        <v>0</v>
      </c>
      <c r="S62" s="61">
        <f t="shared" si="8"/>
        <v>0</v>
      </c>
      <c r="T62" s="56"/>
      <c r="U62" s="63">
        <f t="shared" si="9"/>
        <v>0</v>
      </c>
      <c r="V62" s="56">
        <f t="shared" si="10"/>
        <v>0</v>
      </c>
      <c r="W62" s="64">
        <f t="shared" si="11"/>
        <v>0</v>
      </c>
      <c r="X62" s="77"/>
      <c r="Y62" s="77"/>
      <c r="Z62" s="78">
        <f t="shared" si="12"/>
        <v>0</v>
      </c>
    </row>
    <row r="63" spans="1:26" ht="15">
      <c r="A63" s="74" t="s">
        <v>143</v>
      </c>
      <c r="B63" s="75" t="s">
        <v>144</v>
      </c>
      <c r="C63" s="54">
        <v>182000</v>
      </c>
      <c r="D63" s="54" t="s">
        <v>145</v>
      </c>
      <c r="E63" s="54" t="s">
        <v>146</v>
      </c>
      <c r="F63" s="79"/>
      <c r="G63" s="61">
        <v>268702</v>
      </c>
      <c r="H63" s="56">
        <v>0</v>
      </c>
      <c r="I63" s="56"/>
      <c r="J63" s="58">
        <v>0</v>
      </c>
      <c r="K63" s="56">
        <v>0</v>
      </c>
      <c r="L63" s="56">
        <v>0</v>
      </c>
      <c r="M63" s="61">
        <f t="shared" si="7"/>
        <v>268702</v>
      </c>
      <c r="N63" s="56">
        <f>IF(ISNA(VLOOKUP($B63,'[1]Current Provision - HYP'!$A$10:$BP$201,$E$5,FALSE))=TRUE,0,VLOOKUP($B63,'[1]Current Provision - HYP'!$A$10:$BP$201,$E$5,FALSE))</f>
        <v>0</v>
      </c>
      <c r="O63" s="56">
        <v>0</v>
      </c>
      <c r="P63" s="58">
        <v>0</v>
      </c>
      <c r="Q63" s="58">
        <v>0</v>
      </c>
      <c r="R63" s="58">
        <v>0</v>
      </c>
      <c r="S63" s="61">
        <f t="shared" si="8"/>
        <v>268702</v>
      </c>
      <c r="T63" s="56"/>
      <c r="U63" s="63">
        <f t="shared" si="9"/>
        <v>104525.07799999999</v>
      </c>
      <c r="V63" s="56">
        <f t="shared" si="10"/>
        <v>0</v>
      </c>
      <c r="W63" s="64">
        <f t="shared" si="11"/>
        <v>104525.07799999999</v>
      </c>
      <c r="X63" s="77"/>
      <c r="Y63" s="77"/>
      <c r="Z63" s="78">
        <f t="shared" si="12"/>
        <v>0</v>
      </c>
    </row>
    <row r="64" spans="1:26" ht="15">
      <c r="A64" s="74" t="s">
        <v>147</v>
      </c>
      <c r="B64" s="75" t="str">
        <f>IF(ISNA(VLOOKUP($A64,'[1]Coding (Do not delete)'!$A$7:$K$656,3,FALSE))=TRUE,0,VLOOKUP($A64,'[1]Coding (Do not delete)'!$A$7:$K$656,8,FALSE))</f>
        <v>JE#  T186  Deferred Customer Service Center Costs</v>
      </c>
      <c r="C64" s="54">
        <f>IF(ISNA(VLOOKUP($A64,'[1]Coding (Do not delete)'!$A$7:$K$656,5,FALSE))=TRUE,0,VLOOKUP($A64,'[1]Coding (Do not delete)'!$A$7:$K$656,5,FALSE))</f>
        <v>183280</v>
      </c>
      <c r="D64" s="54" t="s">
        <v>76</v>
      </c>
      <c r="E64" s="54" t="s">
        <v>148</v>
      </c>
      <c r="F64" s="79"/>
      <c r="G64" s="61">
        <v>213362</v>
      </c>
      <c r="H64" s="56">
        <v>0</v>
      </c>
      <c r="I64" s="56"/>
      <c r="J64" s="58">
        <v>0</v>
      </c>
      <c r="K64" s="56">
        <v>0</v>
      </c>
      <c r="L64" s="56">
        <v>0</v>
      </c>
      <c r="M64" s="61">
        <f t="shared" si="7"/>
        <v>213362</v>
      </c>
      <c r="N64" s="56">
        <f>IF(ISNA(VLOOKUP($B64,'[1]Current Provision - HYP'!$A$10:$BP$201,$E$5,FALSE))=TRUE,0,VLOOKUP($B64,'[1]Current Provision - HYP'!$A$10:$BP$201,$E$5,FALSE))</f>
        <v>0</v>
      </c>
      <c r="O64" s="56">
        <v>0</v>
      </c>
      <c r="P64" s="58">
        <v>0</v>
      </c>
      <c r="Q64" s="58">
        <v>0</v>
      </c>
      <c r="R64" s="58">
        <v>0</v>
      </c>
      <c r="S64" s="61">
        <f t="shared" si="8"/>
        <v>213362</v>
      </c>
      <c r="T64" s="56"/>
      <c r="U64" s="63">
        <f t="shared" si="9"/>
        <v>82997.817999999985</v>
      </c>
      <c r="V64" s="56">
        <f t="shared" si="10"/>
        <v>0</v>
      </c>
      <c r="W64" s="64">
        <f t="shared" si="11"/>
        <v>82997.817999999985</v>
      </c>
      <c r="X64" s="77"/>
      <c r="Y64" s="77"/>
      <c r="Z64" s="78">
        <f t="shared" si="12"/>
        <v>0</v>
      </c>
    </row>
    <row r="65" spans="1:26" ht="15">
      <c r="A65" s="74" t="s">
        <v>149</v>
      </c>
      <c r="B65" s="75" t="str">
        <f>IF(ISNA(VLOOKUP($A65,'[1]Coding (Do not delete)'!$A$7:$K$656,3,FALSE))=TRUE,0,VLOOKUP($A65,'[1]Coding (Do not delete)'!$A$7:$K$656,8,FALSE))</f>
        <v>JE#  U101  Deferred Customer Service Offset</v>
      </c>
      <c r="C65" s="54">
        <f>IF(ISNA(VLOOKUP($A65,'[1]Coding (Do not delete)'!$A$7:$K$656,5,FALSE))=TRUE,0,VLOOKUP($A65,'[1]Coding (Do not delete)'!$A$7:$K$656,5,FALSE))</f>
        <v>183280</v>
      </c>
      <c r="D65" s="54" t="s">
        <v>76</v>
      </c>
      <c r="E65" s="54" t="s">
        <v>148</v>
      </c>
      <c r="F65" s="79"/>
      <c r="G65" s="61">
        <v>0</v>
      </c>
      <c r="H65" s="56">
        <v>0</v>
      </c>
      <c r="I65" s="56"/>
      <c r="J65" s="58">
        <v>0</v>
      </c>
      <c r="K65" s="56">
        <v>0</v>
      </c>
      <c r="L65" s="56">
        <v>0</v>
      </c>
      <c r="M65" s="61">
        <f t="shared" si="7"/>
        <v>0</v>
      </c>
      <c r="N65" s="56">
        <f>IF(ISNA(VLOOKUP($B65,'[1]Current Provision - HYP'!$A$10:$BP$201,$E$5,FALSE))=TRUE,0,VLOOKUP($B65,'[1]Current Provision - HYP'!$A$10:$BP$201,$E$5,FALSE))</f>
        <v>0</v>
      </c>
      <c r="O65" s="56">
        <v>0</v>
      </c>
      <c r="P65" s="58">
        <v>0</v>
      </c>
      <c r="Q65" s="58">
        <v>0</v>
      </c>
      <c r="R65" s="58">
        <v>0</v>
      </c>
      <c r="S65" s="61">
        <f t="shared" si="8"/>
        <v>0</v>
      </c>
      <c r="T65" s="56"/>
      <c r="U65" s="63">
        <f t="shared" si="9"/>
        <v>0</v>
      </c>
      <c r="V65" s="56">
        <f t="shared" si="10"/>
        <v>0</v>
      </c>
      <c r="W65" s="64">
        <f t="shared" si="11"/>
        <v>0</v>
      </c>
      <c r="X65" s="77"/>
      <c r="Y65" s="77"/>
      <c r="Z65" s="78">
        <f t="shared" si="12"/>
        <v>0</v>
      </c>
    </row>
    <row r="66" spans="1:26" ht="15">
      <c r="A66" s="74" t="s">
        <v>150</v>
      </c>
      <c r="B66" s="75" t="str">
        <f>IF(ISNA(VLOOKUP($A66,'[1]Coding (Do not delete)'!$A$7:$K$656,3,FALSE))=TRUE,0,VLOOKUP($A66,'[1]Coding (Do not delete)'!$A$7:$K$656,8,FALSE))</f>
        <v>JE#  T187  Deferred Financial Services Costs</v>
      </c>
      <c r="C66" s="54">
        <f>IF(ISNA(VLOOKUP($A66,'[1]Coding (Do not delete)'!$A$7:$K$656,5,FALSE))=TRUE,0,VLOOKUP($A66,'[1]Coding (Do not delete)'!$A$7:$K$656,5,FALSE))</f>
        <v>183281</v>
      </c>
      <c r="D66" s="54" t="s">
        <v>76</v>
      </c>
      <c r="E66" s="54" t="s">
        <v>148</v>
      </c>
      <c r="F66" s="79"/>
      <c r="G66" s="61">
        <v>437167.42027861951</v>
      </c>
      <c r="H66" s="56">
        <v>0</v>
      </c>
      <c r="I66" s="56"/>
      <c r="J66" s="58">
        <v>0</v>
      </c>
      <c r="K66" s="56">
        <v>0</v>
      </c>
      <c r="L66" s="56">
        <v>0</v>
      </c>
      <c r="M66" s="61">
        <f t="shared" si="7"/>
        <v>437167.42027861951</v>
      </c>
      <c r="N66" s="56">
        <f>IF(ISNA(VLOOKUP($B66,'[1]Current Provision - HYP'!$A$10:$BP$201,$E$5,FALSE))=TRUE,0,VLOOKUP($B66,'[1]Current Provision - HYP'!$A$10:$BP$201,$E$5,FALSE))</f>
        <v>0</v>
      </c>
      <c r="O66" s="56">
        <v>0</v>
      </c>
      <c r="P66" s="58">
        <v>0</v>
      </c>
      <c r="Q66" s="58">
        <v>0</v>
      </c>
      <c r="R66" s="58">
        <v>0</v>
      </c>
      <c r="S66" s="61">
        <f t="shared" si="8"/>
        <v>437167.42027861951</v>
      </c>
      <c r="T66" s="56"/>
      <c r="U66" s="63">
        <f t="shared" si="9"/>
        <v>170058.12648838296</v>
      </c>
      <c r="V66" s="56">
        <f t="shared" si="10"/>
        <v>0</v>
      </c>
      <c r="W66" s="64">
        <f t="shared" si="11"/>
        <v>170058.12648838296</v>
      </c>
      <c r="X66" s="77"/>
      <c r="Y66" s="77"/>
      <c r="Z66" s="78">
        <f t="shared" si="12"/>
        <v>0</v>
      </c>
    </row>
    <row r="67" spans="1:26" ht="15">
      <c r="A67" s="74" t="s">
        <v>151</v>
      </c>
      <c r="B67" s="75" t="str">
        <f>IF(ISNA(VLOOKUP($A67,'[1]Coding (Do not delete)'!$A$7:$K$656,3,FALSE))=TRUE,0,VLOOKUP($A67,'[1]Coding (Do not delete)'!$A$7:$K$656,8,FALSE))</f>
        <v>JE#  U102  Deferred Financial Services Offset</v>
      </c>
      <c r="C67" s="54">
        <f>IF(ISNA(VLOOKUP($A67,'[1]Coding (Do not delete)'!$A$7:$K$656,5,FALSE))=TRUE,0,VLOOKUP($A67,'[1]Coding (Do not delete)'!$A$7:$K$656,5,FALSE))</f>
        <v>183281</v>
      </c>
      <c r="D67" s="54" t="s">
        <v>76</v>
      </c>
      <c r="E67" s="54" t="s">
        <v>148</v>
      </c>
      <c r="F67" s="79"/>
      <c r="G67" s="61">
        <v>0</v>
      </c>
      <c r="H67" s="56">
        <v>0</v>
      </c>
      <c r="I67" s="56"/>
      <c r="J67" s="58">
        <v>0</v>
      </c>
      <c r="K67" s="56">
        <v>0</v>
      </c>
      <c r="L67" s="56">
        <v>0</v>
      </c>
      <c r="M67" s="61">
        <f t="shared" si="7"/>
        <v>0</v>
      </c>
      <c r="N67" s="56">
        <f>IF(ISNA(VLOOKUP($B67,'[1]Current Provision - HYP'!$A$10:$BP$201,$E$5,FALSE))=TRUE,0,VLOOKUP($B67,'[1]Current Provision - HYP'!$A$10:$BP$201,$E$5,FALSE))</f>
        <v>0</v>
      </c>
      <c r="O67" s="56">
        <v>0</v>
      </c>
      <c r="P67" s="58">
        <v>0</v>
      </c>
      <c r="Q67" s="58">
        <v>0</v>
      </c>
      <c r="R67" s="58">
        <v>0</v>
      </c>
      <c r="S67" s="61">
        <f t="shared" si="8"/>
        <v>0</v>
      </c>
      <c r="T67" s="56"/>
      <c r="U67" s="63">
        <f t="shared" si="9"/>
        <v>0</v>
      </c>
      <c r="V67" s="56">
        <f t="shared" si="10"/>
        <v>0</v>
      </c>
      <c r="W67" s="64">
        <f t="shared" si="11"/>
        <v>0</v>
      </c>
      <c r="X67" s="77"/>
      <c r="Y67" s="77"/>
      <c r="Z67" s="78">
        <f t="shared" si="12"/>
        <v>0</v>
      </c>
    </row>
    <row r="68" spans="1:26" ht="15">
      <c r="A68" s="74" t="s">
        <v>152</v>
      </c>
      <c r="B68" s="75" t="str">
        <f>IF(ISNA(VLOOKUP($A68,'[1]Coding (Do not delete)'!$A$7:$K$656,3,FALSE))=TRUE,0,VLOOKUP($A68,'[1]Coding (Do not delete)'!$A$7:$K$656,8,FALSE))</f>
        <v>JE#  T146  AFUDC - Equity CWIP (AFUDC 2)</v>
      </c>
      <c r="C68" s="54">
        <f>IF(ISNA(VLOOKUP($A68,'[1]Coding (Do not delete)'!$A$7:$K$656,5,FALSE))=TRUE,0,VLOOKUP($A68,'[1]Coding (Do not delete)'!$A$7:$K$656,5,FALSE))</f>
        <v>185035</v>
      </c>
      <c r="D68" s="54" t="s">
        <v>93</v>
      </c>
      <c r="E68" s="54" t="s">
        <v>153</v>
      </c>
      <c r="F68" s="79"/>
      <c r="G68" s="61">
        <v>-5911567</v>
      </c>
      <c r="H68" s="56">
        <v>0</v>
      </c>
      <c r="I68" s="56"/>
      <c r="J68" s="58">
        <v>0</v>
      </c>
      <c r="K68" s="56">
        <v>0</v>
      </c>
      <c r="L68" s="56">
        <v>0</v>
      </c>
      <c r="M68" s="61">
        <f t="shared" si="7"/>
        <v>-5911567</v>
      </c>
      <c r="N68" s="56">
        <f>IF(ISNA(VLOOKUP($B68,'[1]Current Provision - HYP'!$A$10:$BP$201,$E$5,FALSE))=TRUE,0,VLOOKUP($B68,'[1]Current Provision - HYP'!$A$10:$BP$201,$E$5,FALSE))</f>
        <v>0</v>
      </c>
      <c r="O68" s="56">
        <v>0</v>
      </c>
      <c r="P68" s="58">
        <v>0</v>
      </c>
      <c r="Q68" s="58">
        <v>0</v>
      </c>
      <c r="R68" s="58">
        <v>0</v>
      </c>
      <c r="S68" s="61">
        <f t="shared" si="8"/>
        <v>-5911567</v>
      </c>
      <c r="T68" s="56"/>
      <c r="U68" s="63">
        <f t="shared" si="9"/>
        <v>0</v>
      </c>
      <c r="V68" s="56">
        <f t="shared" si="10"/>
        <v>2299599.5629999996</v>
      </c>
      <c r="W68" s="64">
        <f t="shared" si="11"/>
        <v>-2299599.5629999996</v>
      </c>
      <c r="X68" s="77"/>
      <c r="Y68" s="77"/>
      <c r="Z68" s="78">
        <f t="shared" si="12"/>
        <v>0</v>
      </c>
    </row>
    <row r="69" spans="1:26" ht="15">
      <c r="A69" s="74" t="s">
        <v>154</v>
      </c>
      <c r="B69" s="75" t="str">
        <f>IF(ISNA(VLOOKUP($A69,'[1]Coding (Do not delete)'!$A$7:$K$656,3,FALSE))=TRUE,0,VLOOKUP($A69,'[1]Coding (Do not delete)'!$A$7:$K$656,8,FALSE))</f>
        <v>JE#  T147  Amortization of Regulatory Asset (AFUDC 3)</v>
      </c>
      <c r="C69" s="54">
        <f>IF(ISNA(VLOOKUP($A69,'[1]Coding (Do not delete)'!$A$7:$K$656,5,FALSE))=TRUE,0,VLOOKUP($A69,'[1]Coding (Do not delete)'!$A$7:$K$656,5,FALSE))</f>
        <v>185055</v>
      </c>
      <c r="D69" s="54" t="s">
        <v>93</v>
      </c>
      <c r="E69" s="54" t="s">
        <v>155</v>
      </c>
      <c r="F69" s="79"/>
      <c r="G69" s="61">
        <v>795612</v>
      </c>
      <c r="H69" s="56">
        <v>6901</v>
      </c>
      <c r="I69" s="56"/>
      <c r="J69" s="58">
        <v>0</v>
      </c>
      <c r="K69" s="56">
        <v>0</v>
      </c>
      <c r="L69" s="56">
        <v>0</v>
      </c>
      <c r="M69" s="61">
        <f t="shared" si="7"/>
        <v>802513</v>
      </c>
      <c r="N69" s="56">
        <f>IF(ISNA(VLOOKUP($B69,'[1]Current Provision - HYP'!$A$10:$BP$201,$E$5,FALSE))=TRUE,0,VLOOKUP($B69,'[1]Current Provision - HYP'!$A$10:$BP$201,$E$5,FALSE))</f>
        <v>134281.56</v>
      </c>
      <c r="O69" s="56">
        <v>0</v>
      </c>
      <c r="P69" s="58">
        <v>0</v>
      </c>
      <c r="Q69" s="58">
        <v>0</v>
      </c>
      <c r="R69" s="58">
        <v>0</v>
      </c>
      <c r="S69" s="61">
        <f t="shared" si="8"/>
        <v>936794.56</v>
      </c>
      <c r="T69" s="56"/>
      <c r="U69" s="63">
        <f t="shared" si="9"/>
        <v>364413.08383999998</v>
      </c>
      <c r="V69" s="56">
        <f t="shared" si="10"/>
        <v>0</v>
      </c>
      <c r="W69" s="64">
        <f t="shared" si="11"/>
        <v>364413.08383999998</v>
      </c>
      <c r="X69" s="76"/>
      <c r="Y69" s="77"/>
      <c r="Z69" s="78">
        <f t="shared" si="12"/>
        <v>0</v>
      </c>
    </row>
    <row r="70" spans="1:26" ht="15">
      <c r="A70" s="74" t="s">
        <v>156</v>
      </c>
      <c r="B70" s="75" t="str">
        <f>IF(ISNA(VLOOKUP($A70,'[1]Coding (Do not delete)'!$A$7:$K$656,3,FALSE))=TRUE,0,VLOOKUP($A70,'[1]Coding (Do not delete)'!$A$7:$K$656,8,FALSE))</f>
        <v>JE#  Z019  Prov/Rtn Adj - AFUDC</v>
      </c>
      <c r="C70" s="54">
        <f>IF(ISNA(VLOOKUP($A70,'[1]Coding (Do not delete)'!$A$7:$K$656,5,FALSE))=TRUE,0,VLOOKUP($A70,'[1]Coding (Do not delete)'!$A$7:$K$656,5,FALSE))</f>
        <v>185055</v>
      </c>
      <c r="D70" s="54" t="s">
        <v>93</v>
      </c>
      <c r="E70" s="54" t="s">
        <v>155</v>
      </c>
      <c r="F70" s="79"/>
      <c r="G70" s="61">
        <v>0</v>
      </c>
      <c r="H70" s="56">
        <v>0</v>
      </c>
      <c r="I70" s="56"/>
      <c r="J70" s="58">
        <v>0</v>
      </c>
      <c r="K70" s="56">
        <v>0</v>
      </c>
      <c r="L70" s="56">
        <v>0</v>
      </c>
      <c r="M70" s="61">
        <f t="shared" si="7"/>
        <v>0</v>
      </c>
      <c r="N70" s="56">
        <f>IF(ISNA(VLOOKUP($B70,'[1]Current Provision - HYP'!$A$10:$BP$201,$E$5,FALSE))=TRUE,0,VLOOKUP($B70,'[1]Current Provision - HYP'!$A$10:$BP$201,$E$5,FALSE))</f>
        <v>0</v>
      </c>
      <c r="O70" s="56">
        <v>0</v>
      </c>
      <c r="P70" s="58">
        <v>0</v>
      </c>
      <c r="Q70" s="58">
        <v>0</v>
      </c>
      <c r="R70" s="58">
        <v>0</v>
      </c>
      <c r="S70" s="61">
        <f t="shared" si="8"/>
        <v>0</v>
      </c>
      <c r="T70" s="56"/>
      <c r="U70" s="63">
        <f t="shared" si="9"/>
        <v>0</v>
      </c>
      <c r="V70" s="56">
        <f t="shared" si="10"/>
        <v>0</v>
      </c>
      <c r="W70" s="64">
        <f t="shared" si="11"/>
        <v>0</v>
      </c>
      <c r="X70" s="77"/>
      <c r="Y70" s="77"/>
      <c r="Z70" s="78">
        <f t="shared" si="12"/>
        <v>0</v>
      </c>
    </row>
    <row r="71" spans="1:26" ht="15">
      <c r="A71" s="74" t="s">
        <v>157</v>
      </c>
      <c r="B71" s="75" t="str">
        <f>IF(ISNA(VLOOKUP($A71,'[1]Coding (Do not delete)'!$A$7:$K$656,3,FALSE))=TRUE,0,VLOOKUP($A71,'[1]Coding (Do not delete)'!$A$7:$K$656,8,FALSE))</f>
        <v>JE#  T165  Miscellaneous Deferred Debits (Misc 1)</v>
      </c>
      <c r="C71" s="54">
        <f>IF(ISNA(VLOOKUP($A71,'[1]Coding (Do not delete)'!$A$7:$K$656,5,FALSE))=TRUE,0,VLOOKUP($A71,'[1]Coding (Do not delete)'!$A$7:$K$656,5,FALSE))</f>
        <v>186000</v>
      </c>
      <c r="D71" s="54" t="s">
        <v>76</v>
      </c>
      <c r="E71" s="54" t="s">
        <v>137</v>
      </c>
      <c r="F71" s="79"/>
      <c r="G71" s="61">
        <v>-1870198.3316195372</v>
      </c>
      <c r="H71" s="56">
        <v>0</v>
      </c>
      <c r="I71" s="56"/>
      <c r="J71" s="58">
        <v>0</v>
      </c>
      <c r="K71" s="56">
        <v>0</v>
      </c>
      <c r="L71" s="56">
        <v>0</v>
      </c>
      <c r="M71" s="61">
        <f t="shared" si="7"/>
        <v>-1870198.3316195372</v>
      </c>
      <c r="N71" s="56">
        <f>IF(ISNA(VLOOKUP($B71,'[1]Current Provision - HYP'!$A$10:$BP$201,$E$5,FALSE))=TRUE,0,VLOOKUP($B71,'[1]Current Provision - HYP'!$A$10:$BP$201,$E$5,FALSE))</f>
        <v>57080.04</v>
      </c>
      <c r="O71" s="56">
        <v>0</v>
      </c>
      <c r="P71" s="58">
        <v>0</v>
      </c>
      <c r="Q71" s="58">
        <v>0</v>
      </c>
      <c r="R71" s="58">
        <v>0</v>
      </c>
      <c r="S71" s="61">
        <f t="shared" si="8"/>
        <v>-1813118.2916195372</v>
      </c>
      <c r="T71" s="56"/>
      <c r="U71" s="63">
        <f t="shared" si="9"/>
        <v>0</v>
      </c>
      <c r="V71" s="56">
        <f t="shared" si="10"/>
        <v>705303.01543999987</v>
      </c>
      <c r="W71" s="64">
        <f t="shared" si="11"/>
        <v>-705303.01543999987</v>
      </c>
      <c r="X71" s="77"/>
      <c r="Y71" s="77"/>
      <c r="Z71" s="78">
        <f t="shared" si="12"/>
        <v>0</v>
      </c>
    </row>
    <row r="72" spans="1:26" ht="15">
      <c r="A72" s="74" t="s">
        <v>158</v>
      </c>
      <c r="B72" s="75" t="str">
        <f>IF(ISNA(VLOOKUP($A72,'[1]Coding (Do not delete)'!$A$7:$K$656,3,FALSE))=TRUE,0,VLOOKUP($A72,'[1]Coding (Do not delete)'!$A$7:$K$656,8,FALSE))</f>
        <v>JE#  Z004  Prov/Rtn Adjustment - Misc Deferred</v>
      </c>
      <c r="C72" s="54">
        <f>IF(ISNA(VLOOKUP($A72,'[1]Coding (Do not delete)'!$A$7:$K$656,5,FALSE))=TRUE,0,VLOOKUP($A72,'[1]Coding (Do not delete)'!$A$7:$K$656,5,FALSE))</f>
        <v>186000</v>
      </c>
      <c r="D72" s="54" t="s">
        <v>76</v>
      </c>
      <c r="E72" s="54" t="s">
        <v>137</v>
      </c>
      <c r="F72" s="79"/>
      <c r="G72" s="61">
        <v>208320</v>
      </c>
      <c r="H72" s="56">
        <v>0</v>
      </c>
      <c r="I72" s="56"/>
      <c r="J72" s="58">
        <v>0</v>
      </c>
      <c r="K72" s="56">
        <v>0</v>
      </c>
      <c r="L72" s="56">
        <v>0</v>
      </c>
      <c r="M72" s="61">
        <f t="shared" si="7"/>
        <v>208320</v>
      </c>
      <c r="N72" s="56">
        <f>IF(ISNA(VLOOKUP($B72,'[1]Current Provision - HYP'!$A$10:$BP$201,$E$5,FALSE))=TRUE,0,VLOOKUP($B72,'[1]Current Provision - HYP'!$A$10:$BP$201,$E$5,FALSE))</f>
        <v>0</v>
      </c>
      <c r="O72" s="56">
        <v>0</v>
      </c>
      <c r="P72" s="58">
        <v>0</v>
      </c>
      <c r="Q72" s="58">
        <v>0</v>
      </c>
      <c r="R72" s="58">
        <v>0</v>
      </c>
      <c r="S72" s="61">
        <f t="shared" si="8"/>
        <v>208320</v>
      </c>
      <c r="T72" s="56"/>
      <c r="U72" s="63">
        <f t="shared" si="9"/>
        <v>81036.479999999996</v>
      </c>
      <c r="V72" s="56">
        <f t="shared" si="10"/>
        <v>0</v>
      </c>
      <c r="W72" s="64">
        <f t="shared" si="11"/>
        <v>81036.479999999996</v>
      </c>
      <c r="X72" s="77"/>
      <c r="Y72" s="77"/>
      <c r="Z72" s="78">
        <f t="shared" si="12"/>
        <v>0</v>
      </c>
    </row>
    <row r="73" spans="1:26">
      <c r="A73" s="74" t="s">
        <v>159</v>
      </c>
      <c r="B73" s="75" t="str">
        <f>IF(ISNA(VLOOKUP($A73,'[1]Coding (Do not delete)'!$A$7:$K$656,3,FALSE))=TRUE,0,VLOOKUP($A73,'[1]Coding (Do not delete)'!$A$7:$K$656,8,FALSE))</f>
        <v>JE#  ZZ28  Def Hist - Other Assets Analyzed a/c 186000</v>
      </c>
      <c r="C73" s="54">
        <f>IF(ISNA(VLOOKUP($A73,'[1]Coding (Do not delete)'!$A$7:$K$656,5,FALSE))=TRUE,0,VLOOKUP($A73,'[1]Coding (Do not delete)'!$A$7:$K$656,5,FALSE))</f>
        <v>186000</v>
      </c>
      <c r="D73" s="54" t="s">
        <v>76</v>
      </c>
      <c r="E73" s="54" t="s">
        <v>137</v>
      </c>
      <c r="F73" s="79"/>
      <c r="G73" s="61">
        <v>-54911</v>
      </c>
      <c r="H73" s="56">
        <v>0</v>
      </c>
      <c r="I73" s="56"/>
      <c r="J73" s="58">
        <v>0</v>
      </c>
      <c r="K73" s="56">
        <v>0</v>
      </c>
      <c r="L73" s="56">
        <v>0</v>
      </c>
      <c r="M73" s="61">
        <f t="shared" si="7"/>
        <v>-54911</v>
      </c>
      <c r="N73" s="56">
        <f>IF(ISNA(VLOOKUP($B73,'[1]Current Provision - HYP'!$A$10:$BP$201,$E$5,FALSE))=TRUE,0,VLOOKUP($B73,'[1]Current Provision - HYP'!$A$10:$BP$201,$E$5,FALSE))</f>
        <v>0</v>
      </c>
      <c r="O73" s="56">
        <v>0</v>
      </c>
      <c r="P73" s="58">
        <v>0</v>
      </c>
      <c r="Q73" s="58">
        <v>0</v>
      </c>
      <c r="R73" s="58">
        <v>0</v>
      </c>
      <c r="S73" s="61">
        <f t="shared" si="8"/>
        <v>-54911</v>
      </c>
      <c r="T73" s="56"/>
      <c r="U73" s="63">
        <f t="shared" si="9"/>
        <v>0</v>
      </c>
      <c r="V73" s="56">
        <f t="shared" si="10"/>
        <v>21360.378999999997</v>
      </c>
      <c r="W73" s="64">
        <f t="shared" si="11"/>
        <v>-21360.378999999997</v>
      </c>
      <c r="X73" s="58"/>
      <c r="Z73" s="11">
        <f t="shared" si="12"/>
        <v>0</v>
      </c>
    </row>
    <row r="74" spans="1:26">
      <c r="A74" s="74" t="s">
        <v>160</v>
      </c>
      <c r="B74" s="75" t="str">
        <f>IF(ISNA(VLOOKUP($A74,'[1]Coding (Do not delete)'!$A$7:$K$656,3,FALSE))=TRUE,0,VLOOKUP($A74,'[1]Coding (Do not delete)'!$A$7:$K$656,8,FALSE))</f>
        <v>JE#  T064  Amortization of Premature Property Losses (Disp 5)</v>
      </c>
      <c r="C74" s="65">
        <f>IF(ISNA(VLOOKUP($A74,'[1]Coding (Do not delete)'!$A$7:$K$656,5,FALSE))=TRUE,0,VLOOKUP($A74,'[1]Coding (Do not delete)'!$A$7:$K$656,5,FALSE))</f>
        <v>186100</v>
      </c>
      <c r="D74" s="65" t="s">
        <v>76</v>
      </c>
      <c r="E74" s="65" t="s">
        <v>137</v>
      </c>
      <c r="F74" s="79"/>
      <c r="G74" s="61">
        <v>0</v>
      </c>
      <c r="H74" s="56">
        <v>0</v>
      </c>
      <c r="I74" s="56"/>
      <c r="J74" s="58">
        <v>0</v>
      </c>
      <c r="K74" s="56">
        <v>0</v>
      </c>
      <c r="L74" s="56">
        <v>0</v>
      </c>
      <c r="M74" s="61">
        <f t="shared" si="7"/>
        <v>0</v>
      </c>
      <c r="N74" s="56">
        <f>IF(ISNA(VLOOKUP($B74,'[1]Current Provision - HYP'!$A$10:$BP$201,$E$5,FALSE))=TRUE,0,VLOOKUP($B74,'[1]Current Provision - HYP'!$A$10:$BP$201,$E$5,FALSE))</f>
        <v>0</v>
      </c>
      <c r="O74" s="56">
        <v>0</v>
      </c>
      <c r="P74" s="58">
        <v>0</v>
      </c>
      <c r="Q74" s="58">
        <v>0</v>
      </c>
      <c r="R74" s="58">
        <v>0</v>
      </c>
      <c r="S74" s="61">
        <f t="shared" si="8"/>
        <v>0</v>
      </c>
      <c r="T74" s="56"/>
      <c r="U74" s="63">
        <f t="shared" si="9"/>
        <v>0</v>
      </c>
      <c r="V74" s="56">
        <f t="shared" si="10"/>
        <v>0</v>
      </c>
      <c r="W74" s="64">
        <f t="shared" si="11"/>
        <v>0</v>
      </c>
      <c r="Z74" s="11">
        <f t="shared" si="12"/>
        <v>0</v>
      </c>
    </row>
    <row r="75" spans="1:26" ht="15">
      <c r="A75" s="74" t="s">
        <v>161</v>
      </c>
      <c r="B75" s="75" t="str">
        <f>IF(ISNA(VLOOKUP($A75,'[1]Coding (Do not delete)'!$A$7:$K$656,3,FALSE))=TRUE,0,VLOOKUP($A75,'[1]Coding (Do not delete)'!$A$7:$K$656,8,FALSE))</f>
        <v>JE#  T160  Deferred Maintenance (Maint 1)</v>
      </c>
      <c r="C75" s="54">
        <f>IF(ISNA(VLOOKUP($A75,'[1]Coding (Do not delete)'!$A$7:$K$656,5,FALSE))=TRUE,0,VLOOKUP($A75,'[1]Coding (Do not delete)'!$A$7:$K$656,5,FALSE))</f>
        <v>186401</v>
      </c>
      <c r="D75" s="54" t="s">
        <v>76</v>
      </c>
      <c r="E75" s="54" t="s">
        <v>137</v>
      </c>
      <c r="F75" s="79"/>
      <c r="G75" s="61">
        <v>-3209340</v>
      </c>
      <c r="H75" s="56">
        <v>0</v>
      </c>
      <c r="I75" s="56"/>
      <c r="J75" s="58">
        <v>0</v>
      </c>
      <c r="K75" s="56">
        <v>0</v>
      </c>
      <c r="L75" s="56">
        <v>0</v>
      </c>
      <c r="M75" s="61">
        <f t="shared" si="7"/>
        <v>-3209340</v>
      </c>
      <c r="N75" s="56">
        <f>IF(ISNA(VLOOKUP($B75,'[1]Current Provision - HYP'!$A$10:$BP$201,$E$5,FALSE))=TRUE,0,VLOOKUP($B75,'[1]Current Provision - HYP'!$A$10:$BP$201,$E$5,FALSE))</f>
        <v>-418674.62</v>
      </c>
      <c r="O75" s="56">
        <v>0</v>
      </c>
      <c r="P75" s="58">
        <v>0</v>
      </c>
      <c r="Q75" s="58">
        <v>0</v>
      </c>
      <c r="R75" s="58">
        <v>0</v>
      </c>
      <c r="S75" s="61">
        <f t="shared" si="8"/>
        <v>-3628014.62</v>
      </c>
      <c r="T75" s="56"/>
      <c r="U75" s="63">
        <f t="shared" si="9"/>
        <v>0</v>
      </c>
      <c r="V75" s="56">
        <f t="shared" si="10"/>
        <v>1411297.6871799999</v>
      </c>
      <c r="W75" s="64">
        <f t="shared" si="11"/>
        <v>-1411297.6871799999</v>
      </c>
      <c r="X75" s="77"/>
      <c r="Y75" s="77"/>
      <c r="Z75" s="78">
        <f t="shared" si="12"/>
        <v>0</v>
      </c>
    </row>
    <row r="76" spans="1:26" ht="15">
      <c r="A76" s="74" t="s">
        <v>162</v>
      </c>
      <c r="B76" s="75" t="str">
        <f>IF(ISNA(VLOOKUP($A76,'[1]Coding (Do not delete)'!$A$7:$K$656,3,FALSE))=TRUE,0,VLOOKUP($A76,'[1]Coding (Do not delete)'!$A$7:$K$656,8,FALSE))</f>
        <v>JE#  Z006  Prov/Rtn Rec - Deferred Maintenance</v>
      </c>
      <c r="C76" s="54">
        <f>IF(ISNA(VLOOKUP($A76,'[1]Coding (Do not delete)'!$A$7:$K$656,5,FALSE))=TRUE,0,VLOOKUP($A76,'[1]Coding (Do not delete)'!$A$7:$K$656,5,FALSE))</f>
        <v>186401</v>
      </c>
      <c r="D76" s="54" t="s">
        <v>76</v>
      </c>
      <c r="E76" s="54" t="s">
        <v>137</v>
      </c>
      <c r="F76" s="79"/>
      <c r="G76" s="61">
        <v>0</v>
      </c>
      <c r="H76" s="56">
        <v>0</v>
      </c>
      <c r="I76" s="56"/>
      <c r="J76" s="58">
        <v>0</v>
      </c>
      <c r="K76" s="56">
        <v>0</v>
      </c>
      <c r="L76" s="56">
        <v>0</v>
      </c>
      <c r="M76" s="61">
        <f t="shared" si="7"/>
        <v>0</v>
      </c>
      <c r="N76" s="56">
        <f>IF(ISNA(VLOOKUP($B76,'[1]Current Provision - HYP'!$A$10:$BP$201,$E$5,FALSE))=TRUE,0,VLOOKUP($B76,'[1]Current Provision - HYP'!$A$10:$BP$201,$E$5,FALSE))</f>
        <v>0</v>
      </c>
      <c r="O76" s="56">
        <v>0</v>
      </c>
      <c r="P76" s="58">
        <v>0</v>
      </c>
      <c r="Q76" s="58">
        <v>0</v>
      </c>
      <c r="R76" s="58">
        <v>0</v>
      </c>
      <c r="S76" s="61">
        <f t="shared" si="8"/>
        <v>0</v>
      </c>
      <c r="T76" s="56"/>
      <c r="U76" s="63">
        <f t="shared" si="9"/>
        <v>0</v>
      </c>
      <c r="V76" s="56">
        <f t="shared" si="10"/>
        <v>0</v>
      </c>
      <c r="W76" s="64">
        <f t="shared" si="11"/>
        <v>0</v>
      </c>
      <c r="X76" s="77"/>
      <c r="Y76" s="77"/>
      <c r="Z76" s="78">
        <f t="shared" si="12"/>
        <v>0</v>
      </c>
    </row>
    <row r="77" spans="1:26" ht="15">
      <c r="A77" s="74" t="s">
        <v>163</v>
      </c>
      <c r="B77" s="75" t="str">
        <f>IF(ISNA(VLOOKUP($A77,'[1]Coding (Do not delete)'!$A$7:$K$656,3,FALSE))=TRUE,0,VLOOKUP($A77,'[1]Coding (Do not delete)'!$A$7:$K$656,8,FALSE))</f>
        <v>JE#  T085  Purchased Water - Inside (PWtr 1)</v>
      </c>
      <c r="C77" s="54">
        <f>IF(ISNA(VLOOKUP($A77,'[1]Coding (Do not delete)'!$A$7:$K$656,5,FALSE))=TRUE,0,VLOOKUP($A77,'[1]Coding (Do not delete)'!$A$7:$K$656,5,FALSE))</f>
        <v>186402</v>
      </c>
      <c r="D77" s="54" t="s">
        <v>76</v>
      </c>
      <c r="E77" s="54" t="s">
        <v>137</v>
      </c>
      <c r="F77" s="79"/>
      <c r="G77" s="61">
        <v>0</v>
      </c>
      <c r="H77" s="56">
        <v>0</v>
      </c>
      <c r="I77" s="56"/>
      <c r="J77" s="58">
        <v>0</v>
      </c>
      <c r="K77" s="56">
        <v>0</v>
      </c>
      <c r="L77" s="56">
        <v>0</v>
      </c>
      <c r="M77" s="61">
        <f t="shared" si="7"/>
        <v>0</v>
      </c>
      <c r="N77" s="56">
        <f>IF(ISNA(VLOOKUP($B77,'[1]Current Provision - HYP'!$A$10:$BP$201,$E$5,FALSE))=TRUE,0,VLOOKUP($B77,'[1]Current Provision - HYP'!$A$10:$BP$201,$E$5,FALSE))</f>
        <v>0</v>
      </c>
      <c r="O77" s="56">
        <v>0</v>
      </c>
      <c r="P77" s="58">
        <v>0</v>
      </c>
      <c r="Q77" s="58">
        <v>0</v>
      </c>
      <c r="R77" s="58">
        <v>0</v>
      </c>
      <c r="S77" s="61">
        <f t="shared" si="8"/>
        <v>0</v>
      </c>
      <c r="T77" s="56"/>
      <c r="U77" s="63">
        <f t="shared" si="9"/>
        <v>0</v>
      </c>
      <c r="V77" s="56">
        <f t="shared" si="10"/>
        <v>0</v>
      </c>
      <c r="W77" s="64">
        <f t="shared" si="11"/>
        <v>0</v>
      </c>
      <c r="X77" s="77"/>
      <c r="Y77" s="77"/>
      <c r="Z77" s="78">
        <f t="shared" si="12"/>
        <v>0</v>
      </c>
    </row>
    <row r="78" spans="1:26">
      <c r="A78" s="74" t="s">
        <v>164</v>
      </c>
      <c r="B78" s="75" t="str">
        <f>IF(ISNA(VLOOKUP($A78,'[1]Coding (Do not delete)'!$A$7:$K$656,3,FALSE))=TRUE,0,VLOOKUP($A78,'[1]Coding (Do not delete)'!$A$7:$K$656,8,FALSE))</f>
        <v>JE#  T030  Merger Expense</v>
      </c>
      <c r="C78" s="65">
        <f>IF(ISNA(VLOOKUP($A78,'[1]Coding (Do not delete)'!$A$7:$K$656,5,FALSE))=TRUE,0,VLOOKUP($A78,'[1]Coding (Do not delete)'!$A$7:$K$656,5,FALSE))</f>
        <v>186410</v>
      </c>
      <c r="D78" s="65" t="s">
        <v>68</v>
      </c>
      <c r="E78" s="65" t="s">
        <v>137</v>
      </c>
      <c r="F78" s="79"/>
      <c r="G78" s="61">
        <v>0</v>
      </c>
      <c r="H78" s="56">
        <v>0</v>
      </c>
      <c r="I78" s="56"/>
      <c r="J78" s="58">
        <v>0</v>
      </c>
      <c r="K78" s="56">
        <v>0</v>
      </c>
      <c r="L78" s="56">
        <v>0</v>
      </c>
      <c r="M78" s="61">
        <f t="shared" si="7"/>
        <v>0</v>
      </c>
      <c r="N78" s="56">
        <f>IF(ISNA(VLOOKUP($B78,'[1]Current Provision - HYP'!$A$10:$BP$201,$E$5,FALSE))=TRUE,0,VLOOKUP($B78,'[1]Current Provision - HYP'!$A$10:$BP$201,$E$5,FALSE))</f>
        <v>0</v>
      </c>
      <c r="O78" s="56">
        <v>0</v>
      </c>
      <c r="P78" s="58">
        <v>0</v>
      </c>
      <c r="Q78" s="58">
        <v>0</v>
      </c>
      <c r="R78" s="58">
        <v>0</v>
      </c>
      <c r="S78" s="61">
        <f t="shared" si="8"/>
        <v>0</v>
      </c>
      <c r="T78" s="56"/>
      <c r="U78" s="63">
        <f t="shared" si="9"/>
        <v>0</v>
      </c>
      <c r="V78" s="56">
        <f t="shared" si="10"/>
        <v>0</v>
      </c>
      <c r="W78" s="64">
        <f t="shared" si="11"/>
        <v>0</v>
      </c>
      <c r="Z78" s="11">
        <f t="shared" si="12"/>
        <v>0</v>
      </c>
    </row>
    <row r="79" spans="1:26" ht="15">
      <c r="A79" s="74" t="s">
        <v>165</v>
      </c>
      <c r="B79" s="75" t="str">
        <f>IF(ISNA(VLOOKUP($A79,'[1]Coding (Do not delete)'!$A$7:$K$656,3,FALSE))=TRUE,0,VLOOKUP($A79,'[1]Coding (Do not delete)'!$A$7:$K$656,8,FALSE))</f>
        <v>JE#  Z020  Prov/Rtn Adj - Merger Expense</v>
      </c>
      <c r="C79" s="54">
        <f>IF(ISNA(VLOOKUP($A79,'[1]Coding (Do not delete)'!$A$7:$K$656,5,FALSE))=TRUE,0,VLOOKUP($A79,'[1]Coding (Do not delete)'!$A$7:$K$656,5,FALSE))</f>
        <v>186410</v>
      </c>
      <c r="D79" s="54" t="s">
        <v>68</v>
      </c>
      <c r="E79" s="54" t="s">
        <v>137</v>
      </c>
      <c r="F79" s="79"/>
      <c r="G79" s="61">
        <v>0</v>
      </c>
      <c r="H79" s="56">
        <v>0</v>
      </c>
      <c r="I79" s="56"/>
      <c r="J79" s="58">
        <v>0</v>
      </c>
      <c r="K79" s="56">
        <v>0</v>
      </c>
      <c r="L79" s="56">
        <v>0</v>
      </c>
      <c r="M79" s="61">
        <f t="shared" si="7"/>
        <v>0</v>
      </c>
      <c r="N79" s="56">
        <f>IF(ISNA(VLOOKUP($B79,'[1]Current Provision - HYP'!$A$10:$BP$201,$E$5,FALSE))=TRUE,0,VLOOKUP($B79,'[1]Current Provision - HYP'!$A$10:$BP$201,$E$5,FALSE))</f>
        <v>0</v>
      </c>
      <c r="O79" s="56">
        <v>0</v>
      </c>
      <c r="P79" s="58">
        <v>0</v>
      </c>
      <c r="Q79" s="58">
        <v>0</v>
      </c>
      <c r="R79" s="58">
        <v>0</v>
      </c>
      <c r="S79" s="61">
        <f t="shared" si="8"/>
        <v>0</v>
      </c>
      <c r="T79" s="56"/>
      <c r="U79" s="63">
        <f t="shared" si="9"/>
        <v>0</v>
      </c>
      <c r="V79" s="56">
        <f t="shared" si="10"/>
        <v>0</v>
      </c>
      <c r="W79" s="64">
        <f t="shared" si="11"/>
        <v>0</v>
      </c>
      <c r="X79" s="77"/>
      <c r="Y79" s="77"/>
      <c r="Z79" s="78">
        <f t="shared" si="12"/>
        <v>0</v>
      </c>
    </row>
    <row r="80" spans="1:26">
      <c r="A80" s="74" t="s">
        <v>166</v>
      </c>
      <c r="B80" s="75" t="str">
        <f>IF(ISNA(VLOOKUP($A80,'[1]Coding (Do not delete)'!$A$7:$K$656,3,FALSE))=TRUE,0,VLOOKUP($A80,'[1]Coding (Do not delete)'!$A$7:$K$656,8,FALSE))</f>
        <v>JE#  T086  Purchased Water - Outside (PWtr 2)</v>
      </c>
      <c r="C80" s="65">
        <f>IF(ISNA(VLOOKUP($A80,'[1]Coding (Do not delete)'!$A$7:$K$656,5,FALSE))=TRUE,0,VLOOKUP($A80,'[1]Coding (Do not delete)'!$A$7:$K$656,5,FALSE))</f>
        <v>186412</v>
      </c>
      <c r="D80" s="65" t="s">
        <v>76</v>
      </c>
      <c r="E80" s="65" t="s">
        <v>137</v>
      </c>
      <c r="F80" s="79"/>
      <c r="G80" s="61">
        <v>0</v>
      </c>
      <c r="H80" s="56">
        <v>0</v>
      </c>
      <c r="I80" s="56"/>
      <c r="J80" s="58">
        <v>0</v>
      </c>
      <c r="K80" s="56">
        <v>0</v>
      </c>
      <c r="L80" s="56">
        <v>0</v>
      </c>
      <c r="M80" s="61">
        <f t="shared" si="7"/>
        <v>0</v>
      </c>
      <c r="N80" s="56">
        <f>IF(ISNA(VLOOKUP($B80,'[1]Current Provision - HYP'!$A$10:$BP$201,$E$5,FALSE))=TRUE,0,VLOOKUP($B80,'[1]Current Provision - HYP'!$A$10:$BP$201,$E$5,FALSE))</f>
        <v>0</v>
      </c>
      <c r="O80" s="56">
        <v>0</v>
      </c>
      <c r="P80" s="58">
        <v>0</v>
      </c>
      <c r="Q80" s="58">
        <v>0</v>
      </c>
      <c r="R80" s="58">
        <v>0</v>
      </c>
      <c r="S80" s="61">
        <f t="shared" si="8"/>
        <v>0</v>
      </c>
      <c r="T80" s="56"/>
      <c r="U80" s="63">
        <f t="shared" si="9"/>
        <v>0</v>
      </c>
      <c r="V80" s="56">
        <f t="shared" si="10"/>
        <v>0</v>
      </c>
      <c r="W80" s="64">
        <f t="shared" si="11"/>
        <v>0</v>
      </c>
      <c r="Z80" s="11">
        <f t="shared" si="12"/>
        <v>0</v>
      </c>
    </row>
    <row r="81" spans="1:26">
      <c r="A81" s="74" t="s">
        <v>167</v>
      </c>
      <c r="B81" s="75" t="str">
        <f>IF(ISNA(VLOOKUP($A81,'[1]Coding (Do not delete)'!$A$7:$K$656,3,FALSE))=TRUE,0,VLOOKUP($A81,'[1]Coding (Do not delete)'!$A$7:$K$656,8,FALSE))</f>
        <v>JE#  ZZ41  Def Hist-Purchased Water Outside a/c-186412</v>
      </c>
      <c r="C81" s="65">
        <f>IF(ISNA(VLOOKUP($A81,'[1]Coding (Do not delete)'!$A$7:$K$656,5,FALSE))=TRUE,0,VLOOKUP($A81,'[1]Coding (Do not delete)'!$A$7:$K$656,5,FALSE))</f>
        <v>186412</v>
      </c>
      <c r="D81" s="65" t="s">
        <v>76</v>
      </c>
      <c r="E81" s="65" t="s">
        <v>137</v>
      </c>
      <c r="F81" s="79"/>
      <c r="G81" s="61">
        <v>0</v>
      </c>
      <c r="H81" s="56">
        <v>0</v>
      </c>
      <c r="I81" s="56"/>
      <c r="J81" s="58">
        <v>0</v>
      </c>
      <c r="K81" s="56">
        <v>0</v>
      </c>
      <c r="L81" s="56">
        <v>0</v>
      </c>
      <c r="M81" s="61">
        <f t="shared" si="7"/>
        <v>0</v>
      </c>
      <c r="N81" s="56">
        <f>IF(ISNA(VLOOKUP($B81,'[1]Current Provision - HYP'!$A$10:$BP$201,$E$5,FALSE))=TRUE,0,VLOOKUP($B81,'[1]Current Provision - HYP'!$A$10:$BP$201,$E$5,FALSE))</f>
        <v>0</v>
      </c>
      <c r="O81" s="56">
        <v>0</v>
      </c>
      <c r="P81" s="58">
        <v>0</v>
      </c>
      <c r="Q81" s="58">
        <v>0</v>
      </c>
      <c r="R81" s="58">
        <v>0</v>
      </c>
      <c r="S81" s="61">
        <f t="shared" si="8"/>
        <v>0</v>
      </c>
      <c r="T81" s="56"/>
      <c r="U81" s="63">
        <f t="shared" si="9"/>
        <v>0</v>
      </c>
      <c r="V81" s="56">
        <f t="shared" si="10"/>
        <v>0</v>
      </c>
      <c r="W81" s="64">
        <f t="shared" si="11"/>
        <v>0</v>
      </c>
      <c r="X81" s="58"/>
      <c r="Z81" s="11">
        <f t="shared" si="12"/>
        <v>0</v>
      </c>
    </row>
    <row r="82" spans="1:26" ht="15">
      <c r="A82" s="74" t="s">
        <v>168</v>
      </c>
      <c r="B82" s="75" t="str">
        <f>IF(ISNA(VLOOKUP($A82,'[1]Coding (Do not delete)'!$A$7:$K$656,3,FALSE))=TRUE,0,VLOOKUP($A82,'[1]Coding (Do not delete)'!$A$7:$K$656,8,FALSE))</f>
        <v>JE#  T190  Deferred Business Change Costs</v>
      </c>
      <c r="C82" s="54">
        <f>IF(ISNA(VLOOKUP($A82,'[1]Coding (Do not delete)'!$A$7:$K$656,5,FALSE))=TRUE,0,VLOOKUP($A82,'[1]Coding (Do not delete)'!$A$7:$K$656,5,FALSE))</f>
        <v>186414</v>
      </c>
      <c r="D82" s="54" t="s">
        <v>68</v>
      </c>
      <c r="E82" s="54" t="s">
        <v>169</v>
      </c>
      <c r="F82" s="79"/>
      <c r="G82" s="61">
        <v>0</v>
      </c>
      <c r="H82" s="56">
        <v>0</v>
      </c>
      <c r="I82" s="56"/>
      <c r="J82" s="58">
        <v>0</v>
      </c>
      <c r="K82" s="56">
        <v>0</v>
      </c>
      <c r="L82" s="56">
        <v>0</v>
      </c>
      <c r="M82" s="61">
        <f t="shared" si="7"/>
        <v>0</v>
      </c>
      <c r="N82" s="56">
        <f>IF(ISNA(VLOOKUP($B82,'[1]Current Provision - HYP'!$A$10:$BP$201,$E$5,FALSE))=TRUE,0,VLOOKUP($B82,'[1]Current Provision - HYP'!$A$10:$BP$201,$E$5,FALSE))</f>
        <v>0</v>
      </c>
      <c r="O82" s="56">
        <v>0</v>
      </c>
      <c r="P82" s="58">
        <v>0</v>
      </c>
      <c r="Q82" s="58">
        <v>0</v>
      </c>
      <c r="R82" s="58">
        <v>0</v>
      </c>
      <c r="S82" s="61">
        <f t="shared" si="8"/>
        <v>0</v>
      </c>
      <c r="T82" s="56"/>
      <c r="U82" s="63">
        <f t="shared" si="9"/>
        <v>0</v>
      </c>
      <c r="V82" s="56">
        <f t="shared" si="10"/>
        <v>0</v>
      </c>
      <c r="W82" s="64">
        <f t="shared" si="11"/>
        <v>0</v>
      </c>
      <c r="X82" s="77"/>
      <c r="Y82" s="77"/>
      <c r="Z82" s="78">
        <f t="shared" si="12"/>
        <v>0</v>
      </c>
    </row>
    <row r="83" spans="1:26" ht="15">
      <c r="A83" s="74" t="s">
        <v>170</v>
      </c>
      <c r="B83" s="75" t="str">
        <f>IF(ISNA(VLOOKUP($A83,'[1]Coding (Do not delete)'!$A$7:$K$656,3,FALSE))=TRUE,0,VLOOKUP($A83,'[1]Coding (Do not delete)'!$A$7:$K$656,8,FALSE))</f>
        <v>JE#  T191  Deferred IMO Costs</v>
      </c>
      <c r="C83" s="54">
        <f>IF(ISNA(VLOOKUP($A83,'[1]Coding (Do not delete)'!$A$7:$K$656,5,FALSE))=TRUE,0,VLOOKUP($A83,'[1]Coding (Do not delete)'!$A$7:$K$656,5,FALSE))</f>
        <v>186415</v>
      </c>
      <c r="D83" s="54" t="s">
        <v>68</v>
      </c>
      <c r="E83" s="54" t="s">
        <v>169</v>
      </c>
      <c r="F83" s="79"/>
      <c r="G83" s="61">
        <v>0</v>
      </c>
      <c r="H83" s="56">
        <v>0</v>
      </c>
      <c r="I83" s="56"/>
      <c r="J83" s="58">
        <v>0</v>
      </c>
      <c r="K83" s="56">
        <v>0</v>
      </c>
      <c r="L83" s="56">
        <v>0</v>
      </c>
      <c r="M83" s="61">
        <f t="shared" si="7"/>
        <v>0</v>
      </c>
      <c r="N83" s="56">
        <f>IF(ISNA(VLOOKUP($B83,'[1]Current Provision - HYP'!$A$10:$BP$201,$E$5,FALSE))=TRUE,0,VLOOKUP($B83,'[1]Current Provision - HYP'!$A$10:$BP$201,$E$5,FALSE))</f>
        <v>0</v>
      </c>
      <c r="O83" s="56">
        <v>0</v>
      </c>
      <c r="P83" s="58">
        <v>0</v>
      </c>
      <c r="Q83" s="58">
        <v>0</v>
      </c>
      <c r="R83" s="58">
        <v>0</v>
      </c>
      <c r="S83" s="61">
        <f t="shared" si="8"/>
        <v>0</v>
      </c>
      <c r="T83" s="56"/>
      <c r="U83" s="63">
        <f t="shared" si="9"/>
        <v>0</v>
      </c>
      <c r="V83" s="56">
        <f t="shared" si="10"/>
        <v>0</v>
      </c>
      <c r="W83" s="64">
        <f t="shared" si="11"/>
        <v>0</v>
      </c>
      <c r="X83" s="77"/>
      <c r="Y83" s="77"/>
      <c r="Z83" s="78">
        <f t="shared" si="12"/>
        <v>0</v>
      </c>
    </row>
    <row r="84" spans="1:26" ht="15">
      <c r="A84" s="74" t="s">
        <v>171</v>
      </c>
      <c r="B84" s="75" t="str">
        <f>IF(ISNA(VLOOKUP($A84,'[1]Coding (Do not delete)'!$A$7:$K$656,3,FALSE))=TRUE,0,VLOOKUP($A84,'[1]Coding (Do not delete)'!$A$7:$K$656,8,FALSE))</f>
        <v>JE#  T140  Accrued OPEB (OPEB 1)</v>
      </c>
      <c r="C84" s="54">
        <f>IF(ISNA(VLOOKUP($A84,'[1]Coding (Do not delete)'!$A$7:$K$656,5,FALSE))=TRUE,0,VLOOKUP($A84,'[1]Coding (Do not delete)'!$A$7:$K$656,5,FALSE))</f>
        <v>186417</v>
      </c>
      <c r="D84" s="54" t="s">
        <v>172</v>
      </c>
      <c r="E84" s="54" t="s">
        <v>173</v>
      </c>
      <c r="F84" s="79"/>
      <c r="G84" s="61">
        <v>266947.43855499383</v>
      </c>
      <c r="H84" s="56">
        <v>0</v>
      </c>
      <c r="I84" s="56"/>
      <c r="J84" s="58">
        <v>0</v>
      </c>
      <c r="K84" s="56">
        <v>0</v>
      </c>
      <c r="L84" s="56">
        <v>0</v>
      </c>
      <c r="M84" s="61">
        <f t="shared" si="7"/>
        <v>266947.43855499383</v>
      </c>
      <c r="N84" s="56">
        <f>IF(ISNA(VLOOKUP($B84,'[1]Current Provision - HYP'!$A$10:$BP$201,$E$5,FALSE))=TRUE,0,VLOOKUP($B84,'[1]Current Provision - HYP'!$A$10:$BP$201,$E$5,FALSE))</f>
        <v>0</v>
      </c>
      <c r="O84" s="56">
        <v>0</v>
      </c>
      <c r="P84" s="58">
        <v>0</v>
      </c>
      <c r="Q84" s="58">
        <v>0</v>
      </c>
      <c r="R84" s="58">
        <v>0</v>
      </c>
      <c r="S84" s="61">
        <f t="shared" si="8"/>
        <v>266947.43855499383</v>
      </c>
      <c r="T84" s="56"/>
      <c r="U84" s="63">
        <f t="shared" si="9"/>
        <v>103842.55359789259</v>
      </c>
      <c r="V84" s="56">
        <f t="shared" si="10"/>
        <v>0</v>
      </c>
      <c r="W84" s="64">
        <f t="shared" si="11"/>
        <v>103842.55359789259</v>
      </c>
      <c r="X84" s="77"/>
      <c r="Y84" s="77"/>
      <c r="Z84" s="78">
        <f t="shared" si="12"/>
        <v>0</v>
      </c>
    </row>
    <row r="85" spans="1:26" ht="15">
      <c r="A85" s="74" t="s">
        <v>174</v>
      </c>
      <c r="B85" s="75" t="str">
        <f>IF(ISNA(VLOOKUP($A85,'[1]Coding (Do not delete)'!$A$7:$K$656,3,FALSE))=TRUE,0,VLOOKUP($A85,'[1]Coding (Do not delete)'!$A$7:$K$656,8,FALSE))</f>
        <v>JE#  T130  Regulatory Pension (Pension 1)</v>
      </c>
      <c r="C85" s="54">
        <f>IF(ISNA(VLOOKUP($A85,'[1]Coding (Do not delete)'!$A$7:$K$656,5,FALSE))=TRUE,0,VLOOKUP($A85,'[1]Coding (Do not delete)'!$A$7:$K$656,5,FALSE))</f>
        <v>186422</v>
      </c>
      <c r="D85" s="54" t="s">
        <v>175</v>
      </c>
      <c r="E85" s="54" t="s">
        <v>176</v>
      </c>
      <c r="F85" s="79"/>
      <c r="G85" s="61">
        <v>-4863509.7300000004</v>
      </c>
      <c r="H85" s="56">
        <v>78651</v>
      </c>
      <c r="I85" s="56"/>
      <c r="J85" s="58">
        <v>0</v>
      </c>
      <c r="K85" s="56">
        <v>0</v>
      </c>
      <c r="L85" s="56">
        <v>0</v>
      </c>
      <c r="M85" s="61">
        <f t="shared" si="7"/>
        <v>-4784858.7300000004</v>
      </c>
      <c r="N85" s="56">
        <f>IF(ISNA(VLOOKUP($B85,'[1]Current Provision - HYP'!$A$10:$BP$201,$E$5,FALSE))=TRUE,0,VLOOKUP($B85,'[1]Current Provision - HYP'!$A$10:$BP$201,$E$5,FALSE))</f>
        <v>-654578.40999999992</v>
      </c>
      <c r="O85" s="56">
        <v>0</v>
      </c>
      <c r="P85" s="58">
        <v>0</v>
      </c>
      <c r="Q85" s="58">
        <v>0</v>
      </c>
      <c r="R85" s="58">
        <v>0</v>
      </c>
      <c r="S85" s="61">
        <f t="shared" si="8"/>
        <v>-5439437.1400000006</v>
      </c>
      <c r="T85" s="56"/>
      <c r="U85" s="63">
        <f t="shared" si="9"/>
        <v>0</v>
      </c>
      <c r="V85" s="56">
        <f t="shared" si="10"/>
        <v>2115941.04746</v>
      </c>
      <c r="W85" s="64">
        <f t="shared" si="11"/>
        <v>-2115941.04746</v>
      </c>
      <c r="X85" s="77"/>
      <c r="Y85" s="77"/>
      <c r="Z85" s="78">
        <f t="shared" si="12"/>
        <v>0</v>
      </c>
    </row>
    <row r="86" spans="1:26">
      <c r="A86" s="74" t="s">
        <v>177</v>
      </c>
      <c r="B86" s="75" t="str">
        <f>IF(ISNA(VLOOKUP($A86,'[1]Coding (Do not delete)'!$A$7:$K$656,3,FALSE))=TRUE,0,VLOOKUP($A86,'[1]Coding (Do not delete)'!$A$7:$K$656,8,FALSE))</f>
        <v>JE#  ZZ13  Def Hist - Reg Pension a/c 186422</v>
      </c>
      <c r="C86" s="54">
        <f>IF(ISNA(VLOOKUP($A86,'[1]Coding (Do not delete)'!$A$7:$K$656,5,FALSE))=TRUE,0,VLOOKUP($A86,'[1]Coding (Do not delete)'!$A$7:$K$656,5,FALSE))</f>
        <v>186422</v>
      </c>
      <c r="D86" s="54" t="s">
        <v>175</v>
      </c>
      <c r="E86" s="54" t="s">
        <v>176</v>
      </c>
      <c r="F86" s="79"/>
      <c r="G86" s="61">
        <v>0</v>
      </c>
      <c r="H86" s="56">
        <v>0</v>
      </c>
      <c r="I86" s="56"/>
      <c r="J86" s="58">
        <v>0</v>
      </c>
      <c r="K86" s="56">
        <v>0</v>
      </c>
      <c r="L86" s="56">
        <v>0</v>
      </c>
      <c r="M86" s="61">
        <f t="shared" si="7"/>
        <v>0</v>
      </c>
      <c r="N86" s="56">
        <f>IF(ISNA(VLOOKUP($B86,'[1]Current Provision - HYP'!$A$10:$BP$201,$E$5,FALSE))=TRUE,0,VLOOKUP($B86,'[1]Current Provision - HYP'!$A$10:$BP$201,$E$5,FALSE))</f>
        <v>0</v>
      </c>
      <c r="O86" s="56">
        <v>0</v>
      </c>
      <c r="P86" s="58">
        <v>0</v>
      </c>
      <c r="Q86" s="58">
        <v>0</v>
      </c>
      <c r="R86" s="58">
        <v>0</v>
      </c>
      <c r="S86" s="61">
        <f t="shared" si="8"/>
        <v>0</v>
      </c>
      <c r="T86" s="56"/>
      <c r="U86" s="63">
        <f t="shared" si="9"/>
        <v>0</v>
      </c>
      <c r="V86" s="56">
        <f t="shared" si="10"/>
        <v>0</v>
      </c>
      <c r="W86" s="64">
        <f t="shared" si="11"/>
        <v>0</v>
      </c>
      <c r="X86" s="58"/>
      <c r="Z86" s="11">
        <f t="shared" si="12"/>
        <v>0</v>
      </c>
    </row>
    <row r="87" spans="1:26">
      <c r="A87" s="74" t="s">
        <v>178</v>
      </c>
      <c r="B87" s="75" t="str">
        <f>IF(ISNA(VLOOKUP($A87,'[1]Coding (Do not delete)'!$A$7:$K$656,3,FALSE))=TRUE,0,VLOOKUP($A87,'[1]Coding (Do not delete)'!$A$7:$K$656,8,FALSE))</f>
        <v>JE#  T090  Depreciation Study</v>
      </c>
      <c r="C87" s="65">
        <f>IF(ISNA(VLOOKUP($A87,'[1]Coding (Do not delete)'!$A$7:$K$656,5,FALSE))=TRUE,0,VLOOKUP($A87,'[1]Coding (Do not delete)'!$A$7:$K$656,5,FALSE))</f>
        <v>186431</v>
      </c>
      <c r="D87" s="65" t="s">
        <v>93</v>
      </c>
      <c r="E87" s="65" t="s">
        <v>137</v>
      </c>
      <c r="F87" s="79"/>
      <c r="G87" s="61">
        <v>-27774</v>
      </c>
      <c r="H87" s="56">
        <v>0</v>
      </c>
      <c r="I87" s="56"/>
      <c r="J87" s="58">
        <v>0</v>
      </c>
      <c r="K87" s="56">
        <v>0</v>
      </c>
      <c r="L87" s="56">
        <v>0</v>
      </c>
      <c r="M87" s="61">
        <f t="shared" si="7"/>
        <v>-27774</v>
      </c>
      <c r="N87" s="56">
        <f>IF(ISNA(VLOOKUP($B87,'[1]Current Provision - HYP'!$A$10:$BP$201,$E$5,FALSE))=TRUE,0,VLOOKUP($B87,'[1]Current Provision - HYP'!$A$10:$BP$201,$E$5,FALSE))</f>
        <v>7406.52</v>
      </c>
      <c r="O87" s="56">
        <v>0</v>
      </c>
      <c r="P87" s="58">
        <v>0</v>
      </c>
      <c r="Q87" s="58">
        <v>0</v>
      </c>
      <c r="R87" s="58">
        <v>0</v>
      </c>
      <c r="S87" s="61">
        <f t="shared" si="8"/>
        <v>-20367.48</v>
      </c>
      <c r="T87" s="56"/>
      <c r="U87" s="63">
        <f t="shared" si="9"/>
        <v>0</v>
      </c>
      <c r="V87" s="56">
        <f t="shared" si="10"/>
        <v>7922.9497199999987</v>
      </c>
      <c r="W87" s="64">
        <f t="shared" si="11"/>
        <v>-7922.9497199999987</v>
      </c>
      <c r="Z87" s="11">
        <f t="shared" si="12"/>
        <v>0</v>
      </c>
    </row>
    <row r="88" spans="1:26">
      <c r="A88" s="74" t="s">
        <v>179</v>
      </c>
      <c r="B88" s="75" t="str">
        <f>IF(ISNA(VLOOKUP($A88,'[1]Coding (Do not delete)'!$A$7:$K$656,3,FALSE))=TRUE,0,VLOOKUP($A88,'[1]Coding (Do not delete)'!$A$7:$K$656,8,FALSE))</f>
        <v>JE#  T095  Cost of Service Study</v>
      </c>
      <c r="C88" s="54">
        <f>IF(ISNA(VLOOKUP($A88,'[1]Coding (Do not delete)'!$A$7:$K$656,5,FALSE))=TRUE,0,VLOOKUP($A88,'[1]Coding (Do not delete)'!$A$7:$K$656,5,FALSE))</f>
        <v>186432</v>
      </c>
      <c r="D88" s="54" t="s">
        <v>76</v>
      </c>
      <c r="E88" s="54" t="s">
        <v>137</v>
      </c>
      <c r="F88" s="79"/>
      <c r="G88" s="61">
        <v>-11791</v>
      </c>
      <c r="H88" s="56">
        <v>0</v>
      </c>
      <c r="I88" s="56"/>
      <c r="J88" s="58">
        <v>0</v>
      </c>
      <c r="K88" s="56">
        <v>0</v>
      </c>
      <c r="L88" s="56">
        <v>0</v>
      </c>
      <c r="M88" s="61">
        <f t="shared" si="7"/>
        <v>-11791</v>
      </c>
      <c r="N88" s="56">
        <f>IF(ISNA(VLOOKUP($B88,'[1]Current Provision - HYP'!$A$10:$BP$201,$E$5,FALSE))=TRUE,0,VLOOKUP($B88,'[1]Current Provision - HYP'!$A$10:$BP$201,$E$5,FALSE))</f>
        <v>6737.52</v>
      </c>
      <c r="O88" s="56">
        <v>0</v>
      </c>
      <c r="P88" s="58">
        <v>0</v>
      </c>
      <c r="Q88" s="58">
        <v>0</v>
      </c>
      <c r="R88" s="58">
        <v>0</v>
      </c>
      <c r="S88" s="61">
        <f t="shared" si="8"/>
        <v>-5053.4799999999996</v>
      </c>
      <c r="T88" s="56"/>
      <c r="U88" s="63">
        <f t="shared" si="9"/>
        <v>0</v>
      </c>
      <c r="V88" s="56">
        <f t="shared" si="10"/>
        <v>1965.8037199999997</v>
      </c>
      <c r="W88" s="64">
        <f t="shared" si="11"/>
        <v>-1965.8037199999997</v>
      </c>
      <c r="Z88" s="11">
        <f t="shared" si="12"/>
        <v>0</v>
      </c>
    </row>
    <row r="89" spans="1:26" ht="15">
      <c r="A89" s="74" t="s">
        <v>180</v>
      </c>
      <c r="B89" s="75" t="str">
        <f>IF(ISNA(VLOOKUP($A89,'[1]Coding (Do not delete)'!$A$7:$K$656,3,FALSE))=TRUE,0,VLOOKUP($A89,'[1]Coding (Do not delete)'!$A$7:$K$656,8,FALSE))</f>
        <v>JE#  T150  Post AFUDC (P AFUDC 1)</v>
      </c>
      <c r="C89" s="54">
        <f>IF(ISNA(VLOOKUP($A89,'[1]Coding (Do not delete)'!$A$7:$K$656,5,FALSE))=TRUE,0,VLOOKUP($A89,'[1]Coding (Do not delete)'!$A$7:$K$656,5,FALSE))</f>
        <v>186434</v>
      </c>
      <c r="D89" s="54" t="s">
        <v>93</v>
      </c>
      <c r="E89" s="54" t="s">
        <v>90</v>
      </c>
      <c r="F89" s="79"/>
      <c r="G89" s="61">
        <v>0</v>
      </c>
      <c r="H89" s="56">
        <v>0</v>
      </c>
      <c r="I89" s="56"/>
      <c r="J89" s="58">
        <v>0</v>
      </c>
      <c r="K89" s="56">
        <v>0</v>
      </c>
      <c r="L89" s="56">
        <v>0</v>
      </c>
      <c r="M89" s="61">
        <f t="shared" si="7"/>
        <v>0</v>
      </c>
      <c r="N89" s="56">
        <f>IF(ISNA(VLOOKUP($B89,'[1]Current Provision - HYP'!$A$10:$BP$201,$E$5,FALSE))=TRUE,0,VLOOKUP($B89,'[1]Current Provision - HYP'!$A$10:$BP$201,$E$5,FALSE))</f>
        <v>0</v>
      </c>
      <c r="O89" s="56">
        <v>0</v>
      </c>
      <c r="P89" s="58">
        <v>0</v>
      </c>
      <c r="Q89" s="58">
        <v>0</v>
      </c>
      <c r="R89" s="58">
        <v>0</v>
      </c>
      <c r="S89" s="61">
        <f t="shared" si="8"/>
        <v>0</v>
      </c>
      <c r="T89" s="56"/>
      <c r="U89" s="63">
        <f t="shared" si="9"/>
        <v>0</v>
      </c>
      <c r="V89" s="56">
        <f t="shared" si="10"/>
        <v>0</v>
      </c>
      <c r="W89" s="64">
        <f t="shared" si="11"/>
        <v>0</v>
      </c>
      <c r="X89" s="77"/>
      <c r="Y89" s="77"/>
      <c r="Z89" s="78">
        <f t="shared" si="12"/>
        <v>0</v>
      </c>
    </row>
    <row r="90" spans="1:26">
      <c r="A90" s="74" t="s">
        <v>181</v>
      </c>
      <c r="B90" s="75" t="str">
        <f>IF(ISNA(VLOOKUP($A90,'[1]Coding (Do not delete)'!$A$7:$K$656,3,FALSE))=TRUE,0,VLOOKUP($A90,'[1]Coding (Do not delete)'!$A$7:$K$656,8,FALSE))</f>
        <v>JE#  T046  Post In-Service Depreciation Expense (Depr 2)</v>
      </c>
      <c r="C90" s="65">
        <f>IF(ISNA(VLOOKUP($A90,'[1]Coding (Do not delete)'!$A$7:$K$656,5,FALSE))=TRUE,0,VLOOKUP($A90,'[1]Coding (Do not delete)'!$A$7:$K$656,5,FALSE))</f>
        <v>186435</v>
      </c>
      <c r="D90" s="65" t="s">
        <v>93</v>
      </c>
      <c r="E90" s="65" t="s">
        <v>90</v>
      </c>
      <c r="F90" s="79"/>
      <c r="G90" s="61">
        <v>0</v>
      </c>
      <c r="H90" s="56">
        <v>0</v>
      </c>
      <c r="I90" s="56"/>
      <c r="J90" s="58">
        <v>0</v>
      </c>
      <c r="K90" s="56">
        <v>0</v>
      </c>
      <c r="L90" s="56">
        <v>0</v>
      </c>
      <c r="M90" s="61">
        <f t="shared" si="7"/>
        <v>0</v>
      </c>
      <c r="N90" s="56">
        <f>IF(ISNA(VLOOKUP($B90,'[1]Current Provision - HYP'!$A$10:$BP$201,$E$5,FALSE))=TRUE,0,VLOOKUP($B90,'[1]Current Provision - HYP'!$A$10:$BP$201,$E$5,FALSE))</f>
        <v>0</v>
      </c>
      <c r="O90" s="56">
        <v>0</v>
      </c>
      <c r="P90" s="58">
        <v>0</v>
      </c>
      <c r="Q90" s="58">
        <v>0</v>
      </c>
      <c r="R90" s="58">
        <v>0</v>
      </c>
      <c r="S90" s="61">
        <f t="shared" si="8"/>
        <v>0</v>
      </c>
      <c r="T90" s="56"/>
      <c r="U90" s="63">
        <f t="shared" si="9"/>
        <v>0</v>
      </c>
      <c r="V90" s="56">
        <f t="shared" si="10"/>
        <v>0</v>
      </c>
      <c r="W90" s="64">
        <f t="shared" si="11"/>
        <v>0</v>
      </c>
      <c r="Z90" s="11">
        <f t="shared" si="12"/>
        <v>0</v>
      </c>
    </row>
    <row r="91" spans="1:26" ht="15">
      <c r="A91" s="74" t="s">
        <v>182</v>
      </c>
      <c r="B91" s="75" t="str">
        <f>IF(ISNA(VLOOKUP($A91,'[1]Coding (Do not delete)'!$A$7:$K$656,3,FALSE))=TRUE,0,VLOOKUP($A91,'[1]Coding (Do not delete)'!$A$7:$K$656,8,FALSE))</f>
        <v>JE#  T110  Waste Disposal</v>
      </c>
      <c r="C91" s="54">
        <f>IF(ISNA(VLOOKUP($A91,'[1]Coding (Do not delete)'!$A$7:$K$656,5,FALSE))=TRUE,0,VLOOKUP($A91,'[1]Coding (Do not delete)'!$A$7:$K$656,5,FALSE))</f>
        <v>186444</v>
      </c>
      <c r="D91" s="54" t="s">
        <v>76</v>
      </c>
      <c r="E91" s="54" t="s">
        <v>137</v>
      </c>
      <c r="F91" s="79"/>
      <c r="G91" s="61">
        <v>-158333</v>
      </c>
      <c r="H91" s="56">
        <v>0</v>
      </c>
      <c r="I91" s="56"/>
      <c r="J91" s="58">
        <v>0</v>
      </c>
      <c r="K91" s="56">
        <v>0</v>
      </c>
      <c r="L91" s="56">
        <v>0</v>
      </c>
      <c r="M91" s="61">
        <f t="shared" si="7"/>
        <v>-158333</v>
      </c>
      <c r="N91" s="56">
        <f>IF(ISNA(VLOOKUP($B91,'[1]Current Provision - HYP'!$A$10:$BP$201,$E$5,FALSE))=TRUE,0,VLOOKUP($B91,'[1]Current Provision - HYP'!$A$10:$BP$201,$E$5,FALSE))</f>
        <v>99999.96</v>
      </c>
      <c r="O91" s="56">
        <v>0</v>
      </c>
      <c r="P91" s="58">
        <v>0</v>
      </c>
      <c r="Q91" s="58">
        <v>0</v>
      </c>
      <c r="R91" s="58">
        <v>0</v>
      </c>
      <c r="S91" s="61">
        <f t="shared" si="8"/>
        <v>-58333.039999999994</v>
      </c>
      <c r="T91" s="56"/>
      <c r="U91" s="63">
        <f t="shared" si="9"/>
        <v>0</v>
      </c>
      <c r="V91" s="56">
        <f t="shared" si="10"/>
        <v>22691.552559999996</v>
      </c>
      <c r="W91" s="64">
        <f t="shared" si="11"/>
        <v>-22691.552559999996</v>
      </c>
      <c r="X91" s="77"/>
      <c r="Y91" s="77"/>
      <c r="Z91" s="78">
        <f t="shared" si="12"/>
        <v>0</v>
      </c>
    </row>
    <row r="92" spans="1:26" ht="15">
      <c r="A92" s="74" t="s">
        <v>183</v>
      </c>
      <c r="B92" s="75" t="str">
        <f>IF(ISNA(VLOOKUP($A92,'[1]Coding (Do not delete)'!$A$7:$K$656,3,FALSE))=TRUE,0,VLOOKUP($A92,'[1]Coding (Do not delete)'!$A$7:$K$656,8,FALSE))</f>
        <v>JE#  T105  Management Study</v>
      </c>
      <c r="C92" s="54">
        <f>IF(ISNA(VLOOKUP($A92,'[1]Coding (Do not delete)'!$A$7:$K$656,5,FALSE))=TRUE,0,VLOOKUP($A92,'[1]Coding (Do not delete)'!$A$7:$K$656,5,FALSE))</f>
        <v>186453</v>
      </c>
      <c r="D92" s="54" t="s">
        <v>76</v>
      </c>
      <c r="E92" s="54" t="s">
        <v>137</v>
      </c>
      <c r="F92" s="79"/>
      <c r="G92" s="61">
        <v>0</v>
      </c>
      <c r="H92" s="56">
        <v>0</v>
      </c>
      <c r="I92" s="56"/>
      <c r="J92" s="58">
        <v>0</v>
      </c>
      <c r="K92" s="56">
        <v>0</v>
      </c>
      <c r="L92" s="56">
        <v>0</v>
      </c>
      <c r="M92" s="61">
        <f t="shared" si="7"/>
        <v>0</v>
      </c>
      <c r="N92" s="56">
        <f>IF(ISNA(VLOOKUP($B92,'[1]Current Provision - HYP'!$A$10:$BP$201,$E$5,FALSE))=TRUE,0,VLOOKUP($B92,'[1]Current Provision - HYP'!$A$10:$BP$201,$E$5,FALSE))</f>
        <v>0</v>
      </c>
      <c r="O92" s="56">
        <v>0</v>
      </c>
      <c r="P92" s="58">
        <v>0</v>
      </c>
      <c r="Q92" s="58">
        <v>0</v>
      </c>
      <c r="R92" s="58">
        <v>0</v>
      </c>
      <c r="S92" s="61">
        <f t="shared" si="8"/>
        <v>0</v>
      </c>
      <c r="T92" s="56"/>
      <c r="U92" s="63">
        <f t="shared" si="9"/>
        <v>0</v>
      </c>
      <c r="V92" s="56">
        <f t="shared" si="10"/>
        <v>0</v>
      </c>
      <c r="W92" s="64">
        <f t="shared" si="11"/>
        <v>0</v>
      </c>
      <c r="X92" s="77"/>
      <c r="Y92" s="77"/>
      <c r="Z92" s="78">
        <f t="shared" si="12"/>
        <v>0</v>
      </c>
    </row>
    <row r="93" spans="1:26" ht="15">
      <c r="A93" s="74" t="s">
        <v>184</v>
      </c>
      <c r="B93" s="75" t="str">
        <f>IF(ISNA(VLOOKUP($A93,'[1]Coding (Do not delete)'!$A$7:$K$656,3,FALSE))=TRUE,0,VLOOKUP($A93,'[1]Coding (Do not delete)'!$A$7:$K$656,8,FALSE))</f>
        <v>JE#  T185  Deferred Security Costs</v>
      </c>
      <c r="C93" s="54">
        <f>IF(ISNA(VLOOKUP($A93,'[1]Coding (Do not delete)'!$A$7:$K$656,5,FALSE))=TRUE,0,VLOOKUP($A93,'[1]Coding (Do not delete)'!$A$7:$K$656,5,FALSE))</f>
        <v>186492</v>
      </c>
      <c r="D93" s="54" t="s">
        <v>185</v>
      </c>
      <c r="E93" s="54" t="s">
        <v>186</v>
      </c>
      <c r="F93" s="79"/>
      <c r="G93" s="61">
        <v>-0.10000000009313226</v>
      </c>
      <c r="H93" s="56">
        <v>0</v>
      </c>
      <c r="I93" s="56"/>
      <c r="J93" s="58">
        <v>0</v>
      </c>
      <c r="K93" s="56">
        <v>0</v>
      </c>
      <c r="L93" s="56">
        <v>0</v>
      </c>
      <c r="M93" s="61">
        <f t="shared" si="7"/>
        <v>-0.10000000009313226</v>
      </c>
      <c r="N93" s="56">
        <f>IF(ISNA(VLOOKUP($B93,'[1]Current Provision - HYP'!$A$10:$BP$201,$E$5,FALSE))=TRUE,0,VLOOKUP($B93,'[1]Current Provision - HYP'!$A$10:$BP$201,$E$5,FALSE))</f>
        <v>0</v>
      </c>
      <c r="O93" s="56">
        <v>0</v>
      </c>
      <c r="P93" s="58">
        <v>0</v>
      </c>
      <c r="Q93" s="58">
        <v>0</v>
      </c>
      <c r="R93" s="58">
        <v>0</v>
      </c>
      <c r="S93" s="61">
        <f t="shared" si="8"/>
        <v>-0.10000000009313226</v>
      </c>
      <c r="T93" s="56"/>
      <c r="U93" s="63">
        <f t="shared" si="9"/>
        <v>0</v>
      </c>
      <c r="V93" s="56">
        <f t="shared" si="10"/>
        <v>3.8900000036228441E-2</v>
      </c>
      <c r="W93" s="64">
        <f t="shared" si="11"/>
        <v>-3.8900000036228441E-2</v>
      </c>
      <c r="X93" s="77"/>
      <c r="Y93" s="77"/>
      <c r="Z93" s="78">
        <f t="shared" si="12"/>
        <v>0</v>
      </c>
    </row>
    <row r="94" spans="1:26" ht="15">
      <c r="A94" s="74" t="s">
        <v>187</v>
      </c>
      <c r="B94" s="75" t="str">
        <f>IF(ISNA(VLOOKUP($A94,'[1]Coding (Do not delete)'!$A$7:$K$656,3,FALSE))=TRUE,0,VLOOKUP($A94,'[1]Coding (Do not delete)'!$A$7:$K$656,8,FALSE))</f>
        <v>JE#  U100  Deferred Security Offset</v>
      </c>
      <c r="C94" s="54">
        <f>IF(ISNA(VLOOKUP($A94,'[1]Coding (Do not delete)'!$A$7:$K$656,5,FALSE))=TRUE,0,VLOOKUP($A94,'[1]Coding (Do not delete)'!$A$7:$K$656,5,FALSE))</f>
        <v>186492</v>
      </c>
      <c r="D94" s="54" t="s">
        <v>185</v>
      </c>
      <c r="E94" s="54" t="s">
        <v>186</v>
      </c>
      <c r="F94" s="79"/>
      <c r="G94" s="61">
        <v>0</v>
      </c>
      <c r="H94" s="56">
        <v>0</v>
      </c>
      <c r="I94" s="56"/>
      <c r="J94" s="58">
        <v>0</v>
      </c>
      <c r="K94" s="56">
        <v>0</v>
      </c>
      <c r="L94" s="56">
        <v>0</v>
      </c>
      <c r="M94" s="61">
        <f t="shared" si="7"/>
        <v>0</v>
      </c>
      <c r="N94" s="56">
        <f>IF(ISNA(VLOOKUP($B94,'[1]Current Provision - HYP'!$A$10:$BP$201,$E$5,FALSE))=TRUE,0,VLOOKUP($B94,'[1]Current Provision - HYP'!$A$10:$BP$201,$E$5,FALSE))</f>
        <v>0</v>
      </c>
      <c r="O94" s="56">
        <v>0</v>
      </c>
      <c r="P94" s="58">
        <v>0</v>
      </c>
      <c r="Q94" s="58">
        <v>0</v>
      </c>
      <c r="R94" s="58">
        <v>0</v>
      </c>
      <c r="S94" s="61">
        <f t="shared" si="8"/>
        <v>0</v>
      </c>
      <c r="T94" s="56"/>
      <c r="U94" s="63">
        <f t="shared" si="9"/>
        <v>0</v>
      </c>
      <c r="V94" s="56">
        <f t="shared" si="10"/>
        <v>0</v>
      </c>
      <c r="W94" s="64">
        <f t="shared" si="11"/>
        <v>0</v>
      </c>
      <c r="X94" s="77"/>
      <c r="Y94" s="77"/>
      <c r="Z94" s="78">
        <f t="shared" si="12"/>
        <v>0</v>
      </c>
    </row>
    <row r="95" spans="1:26" ht="15">
      <c r="A95" s="74" t="s">
        <v>188</v>
      </c>
      <c r="B95" s="75" t="str">
        <f>IF(ISNA(VLOOKUP($A95,'[1]Coding (Do not delete)'!$A$7:$K$656,3,FALSE))=TRUE,0,VLOOKUP($A95,'[1]Coding (Do not delete)'!$A$7:$K$656,8,FALSE))</f>
        <v>JE#  T200  Transaction Costs</v>
      </c>
      <c r="C95" s="54">
        <f>IF(ISNA(VLOOKUP($A95,'[1]Coding (Do not delete)'!$A$7:$K$656,5,FALSE))=TRUE,0,VLOOKUP($A95,'[1]Coding (Do not delete)'!$A$7:$K$656,5,FALSE))</f>
        <v>210240</v>
      </c>
      <c r="D95" s="54" t="s">
        <v>76</v>
      </c>
      <c r="E95" s="54" t="s">
        <v>137</v>
      </c>
      <c r="F95" s="79"/>
      <c r="G95" s="61">
        <v>0</v>
      </c>
      <c r="H95" s="56">
        <v>0</v>
      </c>
      <c r="I95" s="56"/>
      <c r="J95" s="58">
        <v>0</v>
      </c>
      <c r="K95" s="56">
        <v>0</v>
      </c>
      <c r="L95" s="56">
        <v>0</v>
      </c>
      <c r="M95" s="61">
        <f t="shared" si="7"/>
        <v>0</v>
      </c>
      <c r="N95" s="56">
        <f>IF(ISNA(VLOOKUP($B95,'[1]Current Provision - HYP'!$A$10:$BP$201,$E$5,FALSE))=TRUE,0,VLOOKUP($B95,'[1]Current Provision - HYP'!$A$10:$BP$201,$E$5,FALSE))</f>
        <v>0</v>
      </c>
      <c r="O95" s="56">
        <v>0</v>
      </c>
      <c r="P95" s="58">
        <v>0</v>
      </c>
      <c r="Q95" s="58">
        <v>0</v>
      </c>
      <c r="R95" s="58">
        <v>0</v>
      </c>
      <c r="S95" s="61">
        <f t="shared" si="8"/>
        <v>0</v>
      </c>
      <c r="T95" s="56"/>
      <c r="U95" s="63">
        <f t="shared" si="9"/>
        <v>0</v>
      </c>
      <c r="V95" s="56">
        <f t="shared" si="10"/>
        <v>0</v>
      </c>
      <c r="W95" s="64">
        <f t="shared" si="11"/>
        <v>0</v>
      </c>
      <c r="X95" s="77"/>
      <c r="Y95" s="77"/>
      <c r="Z95" s="78">
        <f t="shared" si="12"/>
        <v>0</v>
      </c>
    </row>
    <row r="96" spans="1:26" ht="15">
      <c r="A96" s="74" t="s">
        <v>189</v>
      </c>
      <c r="B96" s="75" t="str">
        <f>IF(ISNA(VLOOKUP($A96,'[1]Coding (Do not delete)'!$A$7:$K$656,3,FALSE))=TRUE,0,VLOOKUP($A96,'[1]Coding (Do not delete)'!$A$7:$K$656,8,FALSE))</f>
        <v>JE#  Z015  Prov/Rtn Adj. -  From K-1-Other Income</v>
      </c>
      <c r="C96" s="54">
        <f>IF(ISNA(VLOOKUP($A96,'[1]Coding (Do not delete)'!$A$7:$K$656,5,FALSE))=TRUE,0,VLOOKUP($A96,'[1]Coding (Do not delete)'!$A$7:$K$656,5,FALSE))</f>
        <v>210240</v>
      </c>
      <c r="D96" s="54" t="s">
        <v>76</v>
      </c>
      <c r="E96" s="54" t="s">
        <v>137</v>
      </c>
      <c r="F96" s="79"/>
      <c r="G96" s="61">
        <v>0</v>
      </c>
      <c r="H96" s="56">
        <v>0</v>
      </c>
      <c r="I96" s="56"/>
      <c r="J96" s="58">
        <v>0</v>
      </c>
      <c r="K96" s="56">
        <v>0</v>
      </c>
      <c r="L96" s="56">
        <v>0</v>
      </c>
      <c r="M96" s="61">
        <f t="shared" si="7"/>
        <v>0</v>
      </c>
      <c r="N96" s="56">
        <f>IF(ISNA(VLOOKUP($B96,'[1]Current Provision - HYP'!$A$10:$BP$201,$E$5,FALSE))=TRUE,0,VLOOKUP($B96,'[1]Current Provision - HYP'!$A$10:$BP$201,$E$5,FALSE))</f>
        <v>0</v>
      </c>
      <c r="O96" s="56">
        <v>0</v>
      </c>
      <c r="P96" s="58">
        <v>0</v>
      </c>
      <c r="Q96" s="58">
        <v>0</v>
      </c>
      <c r="R96" s="58">
        <v>0</v>
      </c>
      <c r="S96" s="61">
        <f t="shared" si="8"/>
        <v>0</v>
      </c>
      <c r="T96" s="56"/>
      <c r="U96" s="63">
        <f t="shared" si="9"/>
        <v>0</v>
      </c>
      <c r="V96" s="56">
        <f t="shared" si="10"/>
        <v>0</v>
      </c>
      <c r="W96" s="64">
        <f t="shared" si="11"/>
        <v>0</v>
      </c>
      <c r="X96" s="77"/>
      <c r="Y96" s="77"/>
      <c r="Z96" s="78">
        <f t="shared" si="12"/>
        <v>0</v>
      </c>
    </row>
    <row r="97" spans="1:26" ht="15">
      <c r="A97" s="74" t="s">
        <v>190</v>
      </c>
      <c r="B97" s="75" t="str">
        <f>IF(ISNA(VLOOKUP($A97,'[1]Coding (Do not delete)'!$A$7:$K$656,3,FALSE))=TRUE,0,VLOOKUP($A97,'[1]Coding (Do not delete)'!$A$7:$K$656,8,FALSE))</f>
        <v>JE#  Z016  Prov/Rtn Adj. -  From K-1-interest income</v>
      </c>
      <c r="C97" s="54">
        <f>IF(ISNA(VLOOKUP($A97,'[1]Coding (Do not delete)'!$A$7:$K$656,5,FALSE))=TRUE,0,VLOOKUP($A97,'[1]Coding (Do not delete)'!$A$7:$K$656,5,FALSE))</f>
        <v>210240</v>
      </c>
      <c r="D97" s="54" t="s">
        <v>76</v>
      </c>
      <c r="E97" s="54" t="s">
        <v>137</v>
      </c>
      <c r="F97" s="79"/>
      <c r="G97" s="61">
        <v>0</v>
      </c>
      <c r="H97" s="56">
        <v>0</v>
      </c>
      <c r="I97" s="56"/>
      <c r="J97" s="58">
        <v>0</v>
      </c>
      <c r="K97" s="56">
        <v>0</v>
      </c>
      <c r="L97" s="56">
        <v>0</v>
      </c>
      <c r="M97" s="61">
        <f t="shared" si="7"/>
        <v>0</v>
      </c>
      <c r="N97" s="56">
        <f>IF(ISNA(VLOOKUP($B97,'[1]Current Provision - HYP'!$A$10:$BP$201,$E$5,FALSE))=TRUE,0,VLOOKUP($B97,'[1]Current Provision - HYP'!$A$10:$BP$201,$E$5,FALSE))</f>
        <v>0</v>
      </c>
      <c r="O97" s="56">
        <v>0</v>
      </c>
      <c r="P97" s="58">
        <v>0</v>
      </c>
      <c r="Q97" s="58">
        <v>0</v>
      </c>
      <c r="R97" s="58">
        <v>0</v>
      </c>
      <c r="S97" s="61">
        <f t="shared" si="8"/>
        <v>0</v>
      </c>
      <c r="T97" s="56"/>
      <c r="U97" s="63">
        <f t="shared" si="9"/>
        <v>0</v>
      </c>
      <c r="V97" s="56">
        <f t="shared" si="10"/>
        <v>0</v>
      </c>
      <c r="W97" s="64">
        <f t="shared" si="11"/>
        <v>0</v>
      </c>
      <c r="X97" s="77"/>
      <c r="Y97" s="77"/>
      <c r="Z97" s="78">
        <f t="shared" si="12"/>
        <v>0</v>
      </c>
    </row>
    <row r="98" spans="1:26" ht="15">
      <c r="A98" s="74" t="s">
        <v>191</v>
      </c>
      <c r="B98" s="75" t="str">
        <f>IF(ISNA(VLOOKUP($A98,'[1]Coding (Do not delete)'!$A$7:$K$656,3,FALSE))=TRUE,0,VLOOKUP($A98,'[1]Coding (Do not delete)'!$A$7:$K$656,8,FALSE))</f>
        <v>JE#  T115  Group Insurance</v>
      </c>
      <c r="C98" s="54">
        <f>IF(ISNA(VLOOKUP($A98,'[1]Coding (Do not delete)'!$A$7:$K$656,5,FALSE))=TRUE,0,VLOOKUP($A98,'[1]Coding (Do not delete)'!$A$7:$K$656,5,FALSE))</f>
        <v>241200</v>
      </c>
      <c r="D98" s="54" t="s">
        <v>76</v>
      </c>
      <c r="E98" s="54" t="s">
        <v>192</v>
      </c>
      <c r="F98" s="79"/>
      <c r="G98" s="61">
        <v>0</v>
      </c>
      <c r="H98" s="56">
        <v>0</v>
      </c>
      <c r="I98" s="56"/>
      <c r="J98" s="58">
        <v>0</v>
      </c>
      <c r="K98" s="56">
        <v>0</v>
      </c>
      <c r="L98" s="56">
        <v>0</v>
      </c>
      <c r="M98" s="61">
        <f t="shared" si="7"/>
        <v>0</v>
      </c>
      <c r="N98" s="56">
        <f>IF(ISNA(VLOOKUP($B98,'[1]Current Provision - HYP'!$A$10:$BP$201,$E$5,FALSE))=TRUE,0,VLOOKUP($B98,'[1]Current Provision - HYP'!$A$10:$BP$201,$E$5,FALSE))</f>
        <v>0</v>
      </c>
      <c r="O98" s="56">
        <v>0</v>
      </c>
      <c r="P98" s="58">
        <v>0</v>
      </c>
      <c r="Q98" s="58">
        <v>0</v>
      </c>
      <c r="R98" s="58">
        <v>0</v>
      </c>
      <c r="S98" s="61">
        <f t="shared" si="8"/>
        <v>0</v>
      </c>
      <c r="T98" s="56"/>
      <c r="U98" s="63">
        <f t="shared" si="9"/>
        <v>0</v>
      </c>
      <c r="V98" s="56">
        <f t="shared" si="10"/>
        <v>0</v>
      </c>
      <c r="W98" s="64">
        <f t="shared" si="11"/>
        <v>0</v>
      </c>
      <c r="X98" s="77"/>
      <c r="Y98" s="77"/>
      <c r="Z98" s="78">
        <f t="shared" si="12"/>
        <v>0</v>
      </c>
    </row>
    <row r="99" spans="1:26" ht="15">
      <c r="A99" s="74" t="s">
        <v>193</v>
      </c>
      <c r="B99" s="75" t="str">
        <f>IF(ISNA(VLOOKUP($A99,'[1]Coding (Do not delete)'!$A$7:$K$656,3,FALSE))=TRUE,0,VLOOKUP($A99,'[1]Coding (Do not delete)'!$A$7:$K$656,8,FALSE))</f>
        <v>JE#  ZZ38  Def Hist - Group Insurance - a/c 877205</v>
      </c>
      <c r="C99" s="54">
        <f>IF(ISNA(VLOOKUP($A99,'[1]Coding (Do not delete)'!$A$7:$K$656,5,FALSE))=TRUE,0,VLOOKUP($A99,'[1]Coding (Do not delete)'!$A$7:$K$656,5,FALSE))</f>
        <v>241200</v>
      </c>
      <c r="D99" s="54" t="s">
        <v>76</v>
      </c>
      <c r="E99" s="54" t="s">
        <v>192</v>
      </c>
      <c r="F99" s="79"/>
      <c r="G99" s="61">
        <v>0</v>
      </c>
      <c r="H99" s="56">
        <v>0</v>
      </c>
      <c r="I99" s="56"/>
      <c r="J99" s="58">
        <v>0</v>
      </c>
      <c r="K99" s="56">
        <v>0</v>
      </c>
      <c r="L99" s="56">
        <v>0</v>
      </c>
      <c r="M99" s="61">
        <f t="shared" ref="M99:M162" si="13">SUM(G99:L99)</f>
        <v>0</v>
      </c>
      <c r="N99" s="56">
        <f>IF(ISNA(VLOOKUP($B99,'[1]Current Provision - HYP'!$A$10:$BP$201,$E$5,FALSE))=TRUE,0,VLOOKUP($B99,'[1]Current Provision - HYP'!$A$10:$BP$201,$E$5,FALSE))</f>
        <v>0</v>
      </c>
      <c r="O99" s="56">
        <v>0</v>
      </c>
      <c r="P99" s="58">
        <v>0</v>
      </c>
      <c r="Q99" s="58">
        <v>0</v>
      </c>
      <c r="R99" s="58">
        <v>0</v>
      </c>
      <c r="S99" s="61">
        <f t="shared" ref="S99:S162" si="14">SUM(M99:R99)</f>
        <v>0</v>
      </c>
      <c r="T99" s="56"/>
      <c r="U99" s="63">
        <f t="shared" ref="U99:U162" si="15">IF(S99&gt;0,S99*$G$309,0)</f>
        <v>0</v>
      </c>
      <c r="V99" s="56">
        <f t="shared" ref="V99:V162" si="16">IF(S99&lt;0,-S99*$G$309,0)</f>
        <v>0</v>
      </c>
      <c r="W99" s="64">
        <f t="shared" ref="W99:W162" si="17">U99-V99</f>
        <v>0</v>
      </c>
      <c r="X99" s="77"/>
      <c r="Y99" s="77"/>
      <c r="Z99" s="78">
        <f t="shared" ref="Z99:Z175" si="18">SUM(M99:R99)-S99</f>
        <v>0</v>
      </c>
    </row>
    <row r="100" spans="1:26" ht="15">
      <c r="A100" s="74" t="s">
        <v>194</v>
      </c>
      <c r="B100" s="75" t="str">
        <f>IF(ISNA(VLOOKUP($A100,'[1]Coding (Do not delete)'!$A$7:$K$656,3,FALSE))=TRUE,0,VLOOKUP($A100,'[1]Coding (Do not delete)'!$A$7:$K$656,8,FALSE))</f>
        <v>JE#  T152  Pavement Repairs</v>
      </c>
      <c r="C100" s="54">
        <f>IF(ISNA(VLOOKUP($A100,'[1]Coding (Do not delete)'!$A$7:$K$656,5,FALSE))=TRUE,0,VLOOKUP($A100,'[1]Coding (Do not delete)'!$A$7:$K$656,5,FALSE))</f>
        <v>241500</v>
      </c>
      <c r="D100" s="54" t="s">
        <v>93</v>
      </c>
      <c r="E100" s="54" t="s">
        <v>90</v>
      </c>
      <c r="F100" s="79"/>
      <c r="G100" s="61">
        <v>18853</v>
      </c>
      <c r="H100" s="56">
        <v>0</v>
      </c>
      <c r="I100" s="56"/>
      <c r="J100" s="58">
        <v>0</v>
      </c>
      <c r="K100" s="56">
        <v>0</v>
      </c>
      <c r="L100" s="56">
        <v>0</v>
      </c>
      <c r="M100" s="61">
        <f t="shared" si="13"/>
        <v>18853</v>
      </c>
      <c r="N100" s="56">
        <f>IF(ISNA(VLOOKUP($B100,'[1]Current Provision - HYP'!$A$10:$BP$201,$E$5,FALSE))=TRUE,0,VLOOKUP($B100,'[1]Current Provision - HYP'!$A$10:$BP$201,$E$5,FALSE))</f>
        <v>18219.740000000002</v>
      </c>
      <c r="O100" s="56">
        <v>0</v>
      </c>
      <c r="P100" s="58">
        <v>0</v>
      </c>
      <c r="Q100" s="58">
        <v>0</v>
      </c>
      <c r="R100" s="58">
        <v>0</v>
      </c>
      <c r="S100" s="61">
        <f t="shared" si="14"/>
        <v>37072.740000000005</v>
      </c>
      <c r="T100" s="56"/>
      <c r="U100" s="63">
        <f t="shared" si="15"/>
        <v>14421.29586</v>
      </c>
      <c r="V100" s="56">
        <f t="shared" si="16"/>
        <v>0</v>
      </c>
      <c r="W100" s="64">
        <f t="shared" si="17"/>
        <v>14421.29586</v>
      </c>
      <c r="X100" s="77"/>
      <c r="Y100" s="77"/>
      <c r="Z100" s="78">
        <f t="shared" si="18"/>
        <v>0</v>
      </c>
    </row>
    <row r="101" spans="1:26">
      <c r="A101" s="74" t="s">
        <v>195</v>
      </c>
      <c r="B101" s="75" t="str">
        <f>IF(ISNA(VLOOKUP($A101,'[1]Coding (Do not delete)'!$A$7:$K$656,3,FALSE))=TRUE,0,VLOOKUP($A101,'[1]Coding (Do not delete)'!$A$7:$K$656,8,FALSE))</f>
        <v>JE#  T025  Taxable Advances (CAC 1)</v>
      </c>
      <c r="C101" s="65">
        <f>IF(ISNA(VLOOKUP($A101,'[1]Coding (Do not delete)'!$A$7:$K$656,5,FALSE))=TRUE,0,VLOOKUP($A101,'[1]Coding (Do not delete)'!$A$7:$K$656,5,FALSE))</f>
        <v>252200</v>
      </c>
      <c r="D101" s="65" t="s">
        <v>145</v>
      </c>
      <c r="E101" s="65" t="s">
        <v>196</v>
      </c>
      <c r="F101" s="79"/>
      <c r="G101" s="61">
        <v>76030399.958868891</v>
      </c>
      <c r="H101" s="56">
        <v>0</v>
      </c>
      <c r="I101" s="56"/>
      <c r="J101" s="258">
        <v>2254135</v>
      </c>
      <c r="K101" s="56">
        <v>0</v>
      </c>
      <c r="L101" s="56">
        <v>0</v>
      </c>
      <c r="M101" s="61">
        <f t="shared" si="13"/>
        <v>78284534.958868891</v>
      </c>
      <c r="N101" s="56">
        <f>IF(ISNA(VLOOKUP($B101,'[1]Current Provision - HYP'!$A$10:$BP$201,$E$5,FALSE))=TRUE,0,VLOOKUP($B101,'[1]Current Provision - HYP'!$A$10:$BP$201,$E$5,FALSE))</f>
        <v>0</v>
      </c>
      <c r="O101" s="56">
        <v>0</v>
      </c>
      <c r="P101" s="58">
        <v>0</v>
      </c>
      <c r="Q101" s="58">
        <v>0</v>
      </c>
      <c r="R101" s="58">
        <v>0</v>
      </c>
      <c r="S101" s="61">
        <f t="shared" si="14"/>
        <v>78284534.958868891</v>
      </c>
      <c r="T101" s="56"/>
      <c r="U101" s="63">
        <f t="shared" si="15"/>
        <v>30452684.098999996</v>
      </c>
      <c r="V101" s="56">
        <f t="shared" si="16"/>
        <v>0</v>
      </c>
      <c r="W101" s="64">
        <f t="shared" si="17"/>
        <v>30452684.098999996</v>
      </c>
      <c r="Z101" s="11">
        <f t="shared" si="18"/>
        <v>0</v>
      </c>
    </row>
    <row r="102" spans="1:26" ht="15">
      <c r="A102" s="74" t="s">
        <v>197</v>
      </c>
      <c r="B102" s="75" t="str">
        <f>IF(ISNA(VLOOKUP($A102,'[1]Coding (Do not delete)'!$A$7:$K$656,3,FALSE))=TRUE,0,VLOOKUP($A102,'[1]Coding (Do not delete)'!$A$7:$K$656,8,FALSE))</f>
        <v>JE#  T166  Miscellaneous Deferred Credits (Misc 2)</v>
      </c>
      <c r="C102" s="54">
        <f>IF(ISNA(VLOOKUP($A102,'[1]Coding (Do not delete)'!$A$7:$K$656,5,FALSE))=TRUE,0,VLOOKUP($A102,'[1]Coding (Do not delete)'!$A$7:$K$656,5,FALSE))</f>
        <v>262000</v>
      </c>
      <c r="D102" s="54" t="s">
        <v>76</v>
      </c>
      <c r="E102" s="54" t="s">
        <v>192</v>
      </c>
      <c r="F102" s="79"/>
      <c r="G102" s="61">
        <v>104103.13</v>
      </c>
      <c r="H102" s="56">
        <v>0</v>
      </c>
      <c r="I102" s="56"/>
      <c r="J102" s="58">
        <v>0</v>
      </c>
      <c r="K102" s="56">
        <v>0</v>
      </c>
      <c r="L102" s="56">
        <v>0</v>
      </c>
      <c r="M102" s="61">
        <f t="shared" si="13"/>
        <v>104103.13</v>
      </c>
      <c r="N102" s="56">
        <f>IF(ISNA(VLOOKUP($B102,'[1]Current Provision - HYP'!$A$10:$BP$201,$E$5,FALSE))=TRUE,0,VLOOKUP($B102,'[1]Current Provision - HYP'!$A$10:$BP$201,$E$5,FALSE))</f>
        <v>-73363.239999999991</v>
      </c>
      <c r="O102" s="56">
        <v>0</v>
      </c>
      <c r="P102" s="58">
        <v>0</v>
      </c>
      <c r="Q102" s="58">
        <v>0</v>
      </c>
      <c r="R102" s="58">
        <v>0</v>
      </c>
      <c r="S102" s="61">
        <f t="shared" si="14"/>
        <v>30739.890000000014</v>
      </c>
      <c r="T102" s="56"/>
      <c r="U102" s="63">
        <f t="shared" si="15"/>
        <v>11957.817210000005</v>
      </c>
      <c r="V102" s="56">
        <f t="shared" si="16"/>
        <v>0</v>
      </c>
      <c r="W102" s="64">
        <f t="shared" si="17"/>
        <v>11957.817210000005</v>
      </c>
      <c r="X102" s="77"/>
      <c r="Y102" s="77"/>
      <c r="Z102" s="78">
        <f t="shared" si="18"/>
        <v>0</v>
      </c>
    </row>
    <row r="103" spans="1:26" ht="15">
      <c r="A103" s="74" t="s">
        <v>198</v>
      </c>
      <c r="B103" s="75" t="str">
        <f>IF(ISNA(VLOOKUP($A103,'[1]Coding (Do not delete)'!$A$7:$K$656,3,FALSE))=TRUE,0,VLOOKUP($A103,'[1]Coding (Do not delete)'!$A$7:$K$656,8,FALSE))</f>
        <v>JE#  T167  Miscellaneous Deferred Credits (Misc 3)</v>
      </c>
      <c r="C103" s="54">
        <f>IF(ISNA(VLOOKUP($A103,'[1]Coding (Do not delete)'!$A$7:$K$656,5,FALSE))=TRUE,0,VLOOKUP($A103,'[1]Coding (Do not delete)'!$A$7:$K$656,5,FALSE))</f>
        <v>262000</v>
      </c>
      <c r="D103" s="54" t="s">
        <v>76</v>
      </c>
      <c r="E103" s="54" t="s">
        <v>192</v>
      </c>
      <c r="F103" s="79"/>
      <c r="G103" s="61">
        <v>-606581</v>
      </c>
      <c r="H103" s="56">
        <v>0</v>
      </c>
      <c r="I103" s="56"/>
      <c r="J103" s="58">
        <v>0</v>
      </c>
      <c r="K103" s="56">
        <v>0</v>
      </c>
      <c r="L103" s="56">
        <v>0</v>
      </c>
      <c r="M103" s="61">
        <f t="shared" si="13"/>
        <v>-606581</v>
      </c>
      <c r="N103" s="56">
        <f>IF(ISNA(VLOOKUP($B103,'[1]Current Provision - HYP'!$A$10:$BP$201,$E$5,FALSE))=TRUE,0,VLOOKUP($B103,'[1]Current Provision - HYP'!$A$10:$BP$201,$E$5,FALSE))</f>
        <v>0</v>
      </c>
      <c r="O103" s="56">
        <v>0</v>
      </c>
      <c r="P103" s="58">
        <v>0</v>
      </c>
      <c r="Q103" s="58">
        <v>0</v>
      </c>
      <c r="R103" s="58">
        <v>0</v>
      </c>
      <c r="S103" s="61">
        <f t="shared" si="14"/>
        <v>-606581</v>
      </c>
      <c r="T103" s="56"/>
      <c r="U103" s="63">
        <f t="shared" si="15"/>
        <v>0</v>
      </c>
      <c r="V103" s="56">
        <f t="shared" si="16"/>
        <v>235960.00899999996</v>
      </c>
      <c r="W103" s="64">
        <f t="shared" si="17"/>
        <v>-235960.00899999996</v>
      </c>
      <c r="X103" s="77"/>
      <c r="Y103" s="77"/>
      <c r="Z103" s="78">
        <f t="shared" si="18"/>
        <v>0</v>
      </c>
    </row>
    <row r="104" spans="1:26">
      <c r="A104" s="74" t="s">
        <v>199</v>
      </c>
      <c r="B104" s="75" t="str">
        <f>IF(ISNA(VLOOKUP($A104,'[1]Coding (Do not delete)'!$A$7:$K$656,3,FALSE))=TRUE,0,VLOOKUP($A104,'[1]Coding (Do not delete)'!$A$7:$K$656,8,FALSE))</f>
        <v>JE#  ZZ27  Def Hist - Other Deferred Cr Analyzed a/c 262000</v>
      </c>
      <c r="C104" s="54">
        <f>IF(ISNA(VLOOKUP($A104,'[1]Coding (Do not delete)'!$A$7:$K$656,5,FALSE))=TRUE,0,VLOOKUP($A104,'[1]Coding (Do not delete)'!$A$7:$K$656,5,FALSE))</f>
        <v>262000</v>
      </c>
      <c r="D104" s="54" t="s">
        <v>76</v>
      </c>
      <c r="E104" s="54" t="s">
        <v>192</v>
      </c>
      <c r="F104" s="79"/>
      <c r="G104" s="61">
        <v>712290</v>
      </c>
      <c r="H104" s="56">
        <v>0</v>
      </c>
      <c r="I104" s="56"/>
      <c r="J104" s="58">
        <v>0</v>
      </c>
      <c r="K104" s="56">
        <v>0</v>
      </c>
      <c r="L104" s="56">
        <v>0</v>
      </c>
      <c r="M104" s="61">
        <f t="shared" si="13"/>
        <v>712290</v>
      </c>
      <c r="N104" s="56">
        <f>IF(ISNA(VLOOKUP($B104,'[1]Current Provision - HYP'!$A$10:$BP$201,$E$5,FALSE))=TRUE,0,VLOOKUP($B104,'[1]Current Provision - HYP'!$A$10:$BP$201,$E$5,FALSE))</f>
        <v>0</v>
      </c>
      <c r="O104" s="56">
        <v>0</v>
      </c>
      <c r="P104" s="58">
        <v>0</v>
      </c>
      <c r="Q104" s="58">
        <v>0</v>
      </c>
      <c r="R104" s="58">
        <v>0</v>
      </c>
      <c r="S104" s="61">
        <f t="shared" si="14"/>
        <v>712290</v>
      </c>
      <c r="T104" s="56"/>
      <c r="U104" s="63">
        <f t="shared" si="15"/>
        <v>277080.81</v>
      </c>
      <c r="V104" s="56">
        <f t="shared" si="16"/>
        <v>0</v>
      </c>
      <c r="W104" s="64">
        <f t="shared" si="17"/>
        <v>277080.81</v>
      </c>
      <c r="X104" s="58"/>
      <c r="Z104" s="11">
        <f t="shared" si="18"/>
        <v>0</v>
      </c>
    </row>
    <row r="105" spans="1:26" ht="15">
      <c r="A105" s="74" t="s">
        <v>200</v>
      </c>
      <c r="B105" s="75" t="str">
        <f>IF(ISNA(VLOOKUP($A105,'[1]Coding (Do not delete)'!$A$7:$K$656,3,FALSE))=TRUE,0,VLOOKUP($A105,'[1]Coding (Do not delete)'!$A$7:$K$656,8,FALSE))</f>
        <v>JE#  U103  Miscellaneous Deferred Offset</v>
      </c>
      <c r="C105" s="54">
        <f>IF(ISNA(VLOOKUP($A105,'[1]Coding (Do not delete)'!$A$7:$K$656,5,FALSE))=TRUE,0,VLOOKUP($A105,'[1]Coding (Do not delete)'!$A$7:$K$656,5,FALSE))</f>
        <v>262000</v>
      </c>
      <c r="D105" s="54" t="s">
        <v>76</v>
      </c>
      <c r="E105" s="54" t="s">
        <v>137</v>
      </c>
      <c r="F105" s="79"/>
      <c r="G105" s="61">
        <v>0</v>
      </c>
      <c r="H105" s="56">
        <v>0</v>
      </c>
      <c r="I105" s="56"/>
      <c r="J105" s="58">
        <v>0</v>
      </c>
      <c r="K105" s="56">
        <v>0</v>
      </c>
      <c r="L105" s="56">
        <v>0</v>
      </c>
      <c r="M105" s="61">
        <f t="shared" si="13"/>
        <v>0</v>
      </c>
      <c r="N105" s="56">
        <f>IF(ISNA(VLOOKUP($B105,'[1]Current Provision - HYP'!$A$10:$BP$201,$E$5,FALSE))=TRUE,0,VLOOKUP($B105,'[1]Current Provision - HYP'!$A$10:$BP$201,$E$5,FALSE))</f>
        <v>0</v>
      </c>
      <c r="O105" s="56">
        <v>0</v>
      </c>
      <c r="P105" s="58">
        <v>0</v>
      </c>
      <c r="Q105" s="58">
        <v>0</v>
      </c>
      <c r="R105" s="58">
        <v>0</v>
      </c>
      <c r="S105" s="61">
        <f t="shared" si="14"/>
        <v>0</v>
      </c>
      <c r="T105" s="56"/>
      <c r="U105" s="63">
        <f t="shared" si="15"/>
        <v>0</v>
      </c>
      <c r="V105" s="56">
        <f t="shared" si="16"/>
        <v>0</v>
      </c>
      <c r="W105" s="64">
        <f t="shared" si="17"/>
        <v>0</v>
      </c>
      <c r="X105" s="77"/>
      <c r="Y105" s="77"/>
      <c r="Z105" s="78">
        <f t="shared" si="18"/>
        <v>0</v>
      </c>
    </row>
    <row r="106" spans="1:26" ht="15">
      <c r="A106" s="74" t="s">
        <v>201</v>
      </c>
      <c r="B106" s="75" t="str">
        <f>IF(ISNA(VLOOKUP($A106,'[1]Coding (Do not delete)'!$A$7:$K$656,3,FALSE))=TRUE,0,VLOOKUP($A106,'[1]Coding (Do not delete)'!$A$7:$K$656,8,FALSE))</f>
        <v>JE#  T131  Regulatory Pension (Pension 2)</v>
      </c>
      <c r="C106" s="54">
        <f>IF(ISNA(VLOOKUP($A106,'[1]Coding (Do not delete)'!$A$7:$K$656,5,FALSE))=TRUE,0,VLOOKUP($A106,'[1]Coding (Do not delete)'!$A$7:$K$656,5,FALSE))</f>
        <v>262110</v>
      </c>
      <c r="D106" s="54" t="s">
        <v>175</v>
      </c>
      <c r="E106" s="54" t="s">
        <v>202</v>
      </c>
      <c r="F106" s="79"/>
      <c r="G106" s="61">
        <v>2027518.73</v>
      </c>
      <c r="H106" s="56">
        <v>0</v>
      </c>
      <c r="I106" s="56"/>
      <c r="J106" s="58">
        <v>0</v>
      </c>
      <c r="K106" s="56">
        <v>0</v>
      </c>
      <c r="L106" s="56">
        <v>0</v>
      </c>
      <c r="M106" s="61">
        <f t="shared" si="13"/>
        <v>2027518.73</v>
      </c>
      <c r="N106" s="56">
        <f>IF(ISNA(VLOOKUP($B106,'[1]Current Provision - HYP'!$A$10:$BP$201,$E$5,FALSE))=TRUE,0,VLOOKUP($B106,'[1]Current Provision - HYP'!$A$10:$BP$201,$E$5,FALSE))</f>
        <v>0</v>
      </c>
      <c r="O106" s="56">
        <v>0</v>
      </c>
      <c r="P106" s="58">
        <v>0</v>
      </c>
      <c r="Q106" s="58">
        <v>0</v>
      </c>
      <c r="R106" s="58">
        <v>0</v>
      </c>
      <c r="S106" s="61">
        <f t="shared" si="14"/>
        <v>2027518.73</v>
      </c>
      <c r="T106" s="56"/>
      <c r="U106" s="63">
        <f t="shared" si="15"/>
        <v>788704.78596999985</v>
      </c>
      <c r="V106" s="56">
        <f t="shared" si="16"/>
        <v>0</v>
      </c>
      <c r="W106" s="64">
        <f t="shared" si="17"/>
        <v>788704.78596999985</v>
      </c>
      <c r="X106" s="77"/>
      <c r="Y106" s="77"/>
      <c r="Z106" s="78">
        <f t="shared" si="18"/>
        <v>0</v>
      </c>
    </row>
    <row r="107" spans="1:26">
      <c r="A107" s="74" t="s">
        <v>203</v>
      </c>
      <c r="B107" s="75" t="str">
        <f>IF(ISNA(VLOOKUP($A107,'[1]Coding (Do not delete)'!$A$7:$K$656,3,FALSE))=TRUE,0,VLOOKUP($A107,'[1]Coding (Do not delete)'!$A$7:$K$656,8,FALSE))</f>
        <v>JE#  ZZ23  Def Hist - Reg Pension a/c 262110</v>
      </c>
      <c r="C107" s="54">
        <f>IF(ISNA(VLOOKUP($A107,'[1]Coding (Do not delete)'!$A$7:$K$656,5,FALSE))=TRUE,0,VLOOKUP($A107,'[1]Coding (Do not delete)'!$A$7:$K$656,5,FALSE))</f>
        <v>262110</v>
      </c>
      <c r="D107" s="54" t="s">
        <v>175</v>
      </c>
      <c r="E107" s="54" t="s">
        <v>176</v>
      </c>
      <c r="F107" s="79"/>
      <c r="G107" s="61">
        <v>0</v>
      </c>
      <c r="H107" s="56">
        <v>0</v>
      </c>
      <c r="I107" s="56"/>
      <c r="J107" s="58">
        <v>0</v>
      </c>
      <c r="K107" s="56">
        <v>0</v>
      </c>
      <c r="L107" s="56">
        <v>0</v>
      </c>
      <c r="M107" s="61">
        <f t="shared" si="13"/>
        <v>0</v>
      </c>
      <c r="N107" s="56">
        <f>IF(ISNA(VLOOKUP($B107,'[1]Current Provision - HYP'!$A$10:$BP$201,$E$5,FALSE))=TRUE,0,VLOOKUP($B107,'[1]Current Provision - HYP'!$A$10:$BP$201,$E$5,FALSE))</f>
        <v>0</v>
      </c>
      <c r="O107" s="56">
        <v>0</v>
      </c>
      <c r="P107" s="58">
        <v>0</v>
      </c>
      <c r="Q107" s="58">
        <v>0</v>
      </c>
      <c r="R107" s="58">
        <v>0</v>
      </c>
      <c r="S107" s="61">
        <f t="shared" si="14"/>
        <v>0</v>
      </c>
      <c r="T107" s="56"/>
      <c r="U107" s="63">
        <f t="shared" si="15"/>
        <v>0</v>
      </c>
      <c r="V107" s="56">
        <f t="shared" si="16"/>
        <v>0</v>
      </c>
      <c r="W107" s="64">
        <f t="shared" si="17"/>
        <v>0</v>
      </c>
      <c r="X107" s="58"/>
      <c r="Z107" s="11">
        <f t="shared" si="18"/>
        <v>0</v>
      </c>
    </row>
    <row r="108" spans="1:26" ht="15">
      <c r="A108" s="74" t="s">
        <v>204</v>
      </c>
      <c r="B108" s="75" t="str">
        <f>IF(ISNA(VLOOKUP($A108,'[1]Coding (Do not delete)'!$A$7:$K$656,3,FALSE))=TRUE,0,VLOOKUP($A108,'[1]Coding (Do not delete)'!$A$7:$K$656,8,FALSE))</f>
        <v>JE#  T132  Regulatory Pension (Pension 3)</v>
      </c>
      <c r="C108" s="54">
        <f>IF(ISNA(VLOOKUP($A108,'[1]Coding (Do not delete)'!$A$7:$K$656,5,FALSE))=TRUE,0,VLOOKUP($A108,'[1]Coding (Do not delete)'!$A$7:$K$656,5,FALSE))</f>
        <v>262111</v>
      </c>
      <c r="D108" s="54" t="s">
        <v>175</v>
      </c>
      <c r="E108" s="54" t="s">
        <v>176</v>
      </c>
      <c r="F108" s="79"/>
      <c r="G108" s="61">
        <v>0</v>
      </c>
      <c r="H108" s="56">
        <v>0</v>
      </c>
      <c r="I108" s="56"/>
      <c r="J108" s="58">
        <v>0</v>
      </c>
      <c r="K108" s="56">
        <v>0</v>
      </c>
      <c r="L108" s="56">
        <v>0</v>
      </c>
      <c r="M108" s="61">
        <f t="shared" si="13"/>
        <v>0</v>
      </c>
      <c r="N108" s="56">
        <f>IF(ISNA(VLOOKUP($B108,'[1]Current Provision - HYP'!$A$10:$BP$201,$E$5,FALSE))=TRUE,0,VLOOKUP($B108,'[1]Current Provision - HYP'!$A$10:$BP$201,$E$5,FALSE))</f>
        <v>0</v>
      </c>
      <c r="O108" s="56">
        <v>0</v>
      </c>
      <c r="P108" s="58">
        <v>0</v>
      </c>
      <c r="Q108" s="58">
        <v>0</v>
      </c>
      <c r="R108" s="58">
        <v>0</v>
      </c>
      <c r="S108" s="61">
        <f t="shared" si="14"/>
        <v>0</v>
      </c>
      <c r="T108" s="56"/>
      <c r="U108" s="63">
        <f t="shared" si="15"/>
        <v>0</v>
      </c>
      <c r="V108" s="56">
        <f t="shared" si="16"/>
        <v>0</v>
      </c>
      <c r="W108" s="64">
        <f t="shared" si="17"/>
        <v>0</v>
      </c>
      <c r="X108" s="76"/>
      <c r="Y108" s="77"/>
      <c r="Z108" s="78">
        <f t="shared" si="18"/>
        <v>0</v>
      </c>
    </row>
    <row r="109" spans="1:26">
      <c r="A109" s="74" t="s">
        <v>205</v>
      </c>
      <c r="B109" s="75" t="str">
        <f>IF(ISNA(VLOOKUP($A109,'[1]Coding (Do not delete)'!$A$7:$K$656,3,FALSE))=TRUE,0,VLOOKUP($A109,'[1]Coding (Do not delete)'!$A$7:$K$656,8,FALSE))</f>
        <v>JE#  ZZ24  Def Hist - Reg Pension AWWS a/c 262111</v>
      </c>
      <c r="C109" s="54">
        <f>IF(ISNA(VLOOKUP($A109,'[1]Coding (Do not delete)'!$A$7:$K$656,5,FALSE))=TRUE,0,VLOOKUP($A109,'[1]Coding (Do not delete)'!$A$7:$K$656,5,FALSE))</f>
        <v>262111</v>
      </c>
      <c r="D109" s="54" t="s">
        <v>175</v>
      </c>
      <c r="E109" s="54" t="s">
        <v>176</v>
      </c>
      <c r="F109" s="79"/>
      <c r="G109" s="61">
        <v>0</v>
      </c>
      <c r="H109" s="56">
        <v>0</v>
      </c>
      <c r="I109" s="56"/>
      <c r="J109" s="58">
        <v>0</v>
      </c>
      <c r="K109" s="56">
        <v>0</v>
      </c>
      <c r="L109" s="56">
        <v>0</v>
      </c>
      <c r="M109" s="61">
        <f t="shared" si="13"/>
        <v>0</v>
      </c>
      <c r="N109" s="56">
        <f>IF(ISNA(VLOOKUP($B109,'[1]Current Provision - HYP'!$A$10:$BP$201,$E$5,FALSE))=TRUE,0,VLOOKUP($B109,'[1]Current Provision - HYP'!$A$10:$BP$201,$E$5,FALSE))</f>
        <v>0</v>
      </c>
      <c r="O109" s="56">
        <v>0</v>
      </c>
      <c r="P109" s="58">
        <v>0</v>
      </c>
      <c r="Q109" s="58">
        <v>0</v>
      </c>
      <c r="R109" s="58">
        <v>0</v>
      </c>
      <c r="S109" s="61">
        <f t="shared" si="14"/>
        <v>0</v>
      </c>
      <c r="T109" s="56"/>
      <c r="U109" s="63">
        <f t="shared" si="15"/>
        <v>0</v>
      </c>
      <c r="V109" s="56">
        <f t="shared" si="16"/>
        <v>0</v>
      </c>
      <c r="W109" s="64">
        <f t="shared" si="17"/>
        <v>0</v>
      </c>
      <c r="X109" s="58"/>
      <c r="Z109" s="11">
        <f t="shared" si="18"/>
        <v>0</v>
      </c>
    </row>
    <row r="110" spans="1:26" ht="15">
      <c r="A110" s="74" t="s">
        <v>206</v>
      </c>
      <c r="B110" s="75" t="str">
        <f>IF(ISNA(VLOOKUP($A110,'[1]Coding (Do not delete)'!$A$7:$K$656,3,FALSE))=TRUE,0,VLOOKUP($A110,'[1]Coding (Do not delete)'!$A$7:$K$656,8,FALSE))</f>
        <v>JE#  T135  Supplemental Pension</v>
      </c>
      <c r="C110" s="54">
        <f>IF(ISNA(VLOOKUP($A110,'[1]Coding (Do not delete)'!$A$7:$K$656,5,FALSE))=TRUE,0,VLOOKUP($A110,'[1]Coding (Do not delete)'!$A$7:$K$656,5,FALSE))</f>
        <v>262140</v>
      </c>
      <c r="D110" s="54" t="s">
        <v>175</v>
      </c>
      <c r="E110" s="54" t="s">
        <v>176</v>
      </c>
      <c r="F110" s="79"/>
      <c r="G110" s="61">
        <v>0</v>
      </c>
      <c r="H110" s="56">
        <v>0</v>
      </c>
      <c r="I110" s="56"/>
      <c r="J110" s="58">
        <v>0</v>
      </c>
      <c r="K110" s="56">
        <v>0</v>
      </c>
      <c r="L110" s="56">
        <v>0</v>
      </c>
      <c r="M110" s="61">
        <f t="shared" si="13"/>
        <v>0</v>
      </c>
      <c r="N110" s="56">
        <f>IF(ISNA(VLOOKUP($B110,'[1]Current Provision - HYP'!$A$10:$BP$201,$E$5,FALSE))=TRUE,0,VLOOKUP($B110,'[1]Current Provision - HYP'!$A$10:$BP$201,$E$5,FALSE))</f>
        <v>0</v>
      </c>
      <c r="O110" s="56">
        <v>0</v>
      </c>
      <c r="P110" s="58">
        <v>0</v>
      </c>
      <c r="Q110" s="58">
        <v>0</v>
      </c>
      <c r="R110" s="58">
        <v>0</v>
      </c>
      <c r="S110" s="61">
        <f t="shared" si="14"/>
        <v>0</v>
      </c>
      <c r="T110" s="56"/>
      <c r="U110" s="63">
        <f t="shared" si="15"/>
        <v>0</v>
      </c>
      <c r="V110" s="56">
        <f t="shared" si="16"/>
        <v>0</v>
      </c>
      <c r="W110" s="64">
        <f t="shared" si="17"/>
        <v>0</v>
      </c>
      <c r="X110" s="77"/>
      <c r="Y110" s="77"/>
      <c r="Z110" s="78">
        <f t="shared" si="18"/>
        <v>0</v>
      </c>
    </row>
    <row r="111" spans="1:26">
      <c r="A111" s="74" t="s">
        <v>207</v>
      </c>
      <c r="B111" s="75" t="str">
        <f>IF(ISNA(VLOOKUP($A111,'[1]Coding (Do not delete)'!$A$7:$K$656,3,FALSE))=TRUE,0,VLOOKUP($A111,'[1]Coding (Do not delete)'!$A$7:$K$656,8,FALSE))</f>
        <v>JE#  ZZ25  Def Hist - Supplemental Pension a/c 262140</v>
      </c>
      <c r="C111" s="54">
        <f>IF(ISNA(VLOOKUP($A111,'[1]Coding (Do not delete)'!$A$7:$K$656,5,FALSE))=TRUE,0,VLOOKUP($A111,'[1]Coding (Do not delete)'!$A$7:$K$656,5,FALSE))</f>
        <v>262140</v>
      </c>
      <c r="D111" s="54" t="s">
        <v>175</v>
      </c>
      <c r="E111" s="54" t="s">
        <v>176</v>
      </c>
      <c r="F111" s="79"/>
      <c r="G111" s="61">
        <v>0</v>
      </c>
      <c r="H111" s="56">
        <v>0</v>
      </c>
      <c r="I111" s="56"/>
      <c r="J111" s="58">
        <v>0</v>
      </c>
      <c r="K111" s="56">
        <v>0</v>
      </c>
      <c r="L111" s="56">
        <v>0</v>
      </c>
      <c r="M111" s="61">
        <f t="shared" si="13"/>
        <v>0</v>
      </c>
      <c r="N111" s="56">
        <f>IF(ISNA(VLOOKUP($B111,'[1]Current Provision - HYP'!$A$10:$BP$201,$E$5,FALSE))=TRUE,0,VLOOKUP($B111,'[1]Current Provision - HYP'!$A$10:$BP$201,$E$5,FALSE))</f>
        <v>0</v>
      </c>
      <c r="O111" s="56">
        <v>0</v>
      </c>
      <c r="P111" s="58">
        <v>0</v>
      </c>
      <c r="Q111" s="58">
        <v>0</v>
      </c>
      <c r="R111" s="58">
        <v>0</v>
      </c>
      <c r="S111" s="61">
        <f t="shared" si="14"/>
        <v>0</v>
      </c>
      <c r="T111" s="56"/>
      <c r="U111" s="63">
        <f t="shared" si="15"/>
        <v>0</v>
      </c>
      <c r="V111" s="56">
        <f t="shared" si="16"/>
        <v>0</v>
      </c>
      <c r="W111" s="64">
        <f t="shared" si="17"/>
        <v>0</v>
      </c>
      <c r="X111" s="58"/>
      <c r="Z111" s="11">
        <f t="shared" si="18"/>
        <v>0</v>
      </c>
    </row>
    <row r="112" spans="1:26" ht="15">
      <c r="A112" s="74" t="s">
        <v>208</v>
      </c>
      <c r="B112" s="75" t="str">
        <f>IF(ISNA(VLOOKUP($A112,'[1]Coding (Do not delete)'!$A$7:$K$656,3,FALSE))=TRUE,0,VLOOKUP($A112,'[1]Coding (Do not delete)'!$A$7:$K$656,8,FALSE))</f>
        <v>JE#  T180  Insurance Other than Group</v>
      </c>
      <c r="C112" s="54">
        <f>IF(ISNA(VLOOKUP($A112,'[1]Coding (Do not delete)'!$A$7:$K$656,5,FALSE))=TRUE,0,VLOOKUP($A112,'[1]Coding (Do not delete)'!$A$7:$K$656,5,FALSE))</f>
        <v>262180</v>
      </c>
      <c r="D112" s="54" t="s">
        <v>76</v>
      </c>
      <c r="E112" s="54" t="s">
        <v>72</v>
      </c>
      <c r="F112" s="79"/>
      <c r="G112" s="61">
        <v>0</v>
      </c>
      <c r="H112" s="56">
        <v>0</v>
      </c>
      <c r="I112" s="56"/>
      <c r="J112" s="58">
        <v>0</v>
      </c>
      <c r="K112" s="56">
        <v>0</v>
      </c>
      <c r="L112" s="56">
        <v>0</v>
      </c>
      <c r="M112" s="61">
        <f t="shared" si="13"/>
        <v>0</v>
      </c>
      <c r="N112" s="56">
        <f>IF(ISNA(VLOOKUP($B112,'[1]Current Provision - HYP'!$A$10:$BP$201,$E$5,FALSE))=TRUE,0,VLOOKUP($B112,'[1]Current Provision - HYP'!$A$10:$BP$201,$E$5,FALSE))</f>
        <v>0</v>
      </c>
      <c r="O112" s="56">
        <v>0</v>
      </c>
      <c r="P112" s="58">
        <v>0</v>
      </c>
      <c r="Q112" s="58">
        <v>0</v>
      </c>
      <c r="R112" s="58">
        <v>0</v>
      </c>
      <c r="S112" s="61">
        <f t="shared" si="14"/>
        <v>0</v>
      </c>
      <c r="T112" s="56"/>
      <c r="U112" s="63">
        <f t="shared" si="15"/>
        <v>0</v>
      </c>
      <c r="V112" s="56">
        <f t="shared" si="16"/>
        <v>0</v>
      </c>
      <c r="W112" s="64">
        <f t="shared" si="17"/>
        <v>0</v>
      </c>
      <c r="X112" s="77"/>
      <c r="Y112" s="77"/>
      <c r="Z112" s="78">
        <f t="shared" si="18"/>
        <v>0</v>
      </c>
    </row>
    <row r="113" spans="1:26" ht="15">
      <c r="A113" s="74" t="s">
        <v>209</v>
      </c>
      <c r="B113" s="75" t="str">
        <f>IF(ISNA(VLOOKUP($A113,'[1]Coding (Do not delete)'!$A$7:$K$656,3,FALSE))=TRUE,0,VLOOKUP($A113,'[1]Coding (Do not delete)'!$A$7:$K$656,8,FALSE))</f>
        <v>JE#  T141  Accrued OPEB (OPEB 2)</v>
      </c>
      <c r="C113" s="54">
        <f>IF(ISNA(VLOOKUP($A113,'[1]Coding (Do not delete)'!$A$7:$K$656,5,FALSE))=TRUE,0,VLOOKUP($A113,'[1]Coding (Do not delete)'!$A$7:$K$656,5,FALSE))</f>
        <v>262210</v>
      </c>
      <c r="D113" s="54" t="s">
        <v>172</v>
      </c>
      <c r="E113" s="54" t="s">
        <v>173</v>
      </c>
      <c r="F113" s="79"/>
      <c r="G113" s="61">
        <v>222693</v>
      </c>
      <c r="H113" s="56">
        <v>0</v>
      </c>
      <c r="I113" s="56"/>
      <c r="J113" s="58">
        <v>0</v>
      </c>
      <c r="K113" s="56">
        <v>0</v>
      </c>
      <c r="L113" s="56">
        <v>0</v>
      </c>
      <c r="M113" s="61">
        <f t="shared" si="13"/>
        <v>222693</v>
      </c>
      <c r="N113" s="56">
        <f>IF(ISNA(VLOOKUP($B113,'[1]Current Provision - HYP'!$A$10:$BP$201,$E$5,FALSE))=TRUE,0,VLOOKUP($B113,'[1]Current Provision - HYP'!$A$10:$BP$201,$E$5,FALSE))</f>
        <v>0</v>
      </c>
      <c r="O113" s="56">
        <v>0</v>
      </c>
      <c r="P113" s="58">
        <v>0</v>
      </c>
      <c r="Q113" s="58">
        <v>0</v>
      </c>
      <c r="R113" s="58">
        <v>0</v>
      </c>
      <c r="S113" s="61">
        <f t="shared" si="14"/>
        <v>222693</v>
      </c>
      <c r="T113" s="56"/>
      <c r="U113" s="63">
        <f t="shared" si="15"/>
        <v>86627.57699999999</v>
      </c>
      <c r="V113" s="56">
        <f t="shared" si="16"/>
        <v>0</v>
      </c>
      <c r="W113" s="64">
        <f t="shared" si="17"/>
        <v>86627.57699999999</v>
      </c>
      <c r="X113" s="76"/>
      <c r="Y113" s="77"/>
      <c r="Z113" s="78">
        <f t="shared" si="18"/>
        <v>0</v>
      </c>
    </row>
    <row r="114" spans="1:26" ht="15">
      <c r="A114" s="74" t="s">
        <v>210</v>
      </c>
      <c r="B114" s="75" t="str">
        <f>IF(ISNA(VLOOKUP($A114,'[1]Coding (Do not delete)'!$A$7:$K$656,3,FALSE))=TRUE,0,VLOOKUP($A114,'[1]Coding (Do not delete)'!$A$7:$K$656,8,FALSE))</f>
        <v>JE#  T142  Accrued OPEB (OPEB 3)</v>
      </c>
      <c r="C114" s="54">
        <f>IF(ISNA(VLOOKUP($A114,'[1]Coding (Do not delete)'!$A$7:$K$656,5,FALSE))=TRUE,0,VLOOKUP($A114,'[1]Coding (Do not delete)'!$A$7:$K$656,5,FALSE))</f>
        <v>262210</v>
      </c>
      <c r="D114" s="54" t="s">
        <v>172</v>
      </c>
      <c r="E114" s="54" t="s">
        <v>211</v>
      </c>
      <c r="F114" s="79"/>
      <c r="G114" s="61">
        <v>875909.96</v>
      </c>
      <c r="H114" s="56">
        <v>0</v>
      </c>
      <c r="I114" s="56"/>
      <c r="J114" s="58">
        <v>0</v>
      </c>
      <c r="K114" s="56">
        <v>0</v>
      </c>
      <c r="L114" s="56">
        <v>0</v>
      </c>
      <c r="M114" s="61">
        <f t="shared" si="13"/>
        <v>875909.96</v>
      </c>
      <c r="N114" s="56">
        <f>IF(ISNA(VLOOKUP($B114,'[1]Current Provision - HYP'!$A$10:$BP$201,$E$5,FALSE))=TRUE,0,VLOOKUP($B114,'[1]Current Provision - HYP'!$A$10:$BP$201,$E$5,FALSE))</f>
        <v>0</v>
      </c>
      <c r="O114" s="56">
        <v>0</v>
      </c>
      <c r="P114" s="58">
        <v>0</v>
      </c>
      <c r="Q114" s="58">
        <v>0</v>
      </c>
      <c r="R114" s="58">
        <v>0</v>
      </c>
      <c r="S114" s="61">
        <f t="shared" si="14"/>
        <v>875909.96</v>
      </c>
      <c r="T114" s="56"/>
      <c r="U114" s="63">
        <f t="shared" si="15"/>
        <v>340728.97443999996</v>
      </c>
      <c r="V114" s="56">
        <f t="shared" si="16"/>
        <v>0</v>
      </c>
      <c r="W114" s="64">
        <f t="shared" si="17"/>
        <v>340728.97443999996</v>
      </c>
      <c r="X114" s="76"/>
      <c r="Y114" s="77"/>
      <c r="Z114" s="78">
        <f t="shared" si="18"/>
        <v>0</v>
      </c>
    </row>
    <row r="115" spans="1:26" ht="15">
      <c r="A115" s="74" t="s">
        <v>212</v>
      </c>
      <c r="B115" s="75" t="str">
        <f>IF(ISNA(VLOOKUP($A115,'[1]Coding (Do not delete)'!$A$7:$K$656,3,FALSE))=TRUE,0,VLOOKUP($A115,'[1]Coding (Do not delete)'!$A$7:$K$656,8,FALSE))</f>
        <v>JE#  T120  Incentive Plan (Incen 1)</v>
      </c>
      <c r="C115" s="54">
        <f>IF(ISNA(VLOOKUP($A115,'[1]Coding (Do not delete)'!$A$7:$K$656,5,FALSE))=TRUE,0,VLOOKUP($A115,'[1]Coding (Do not delete)'!$A$7:$K$656,5,FALSE))</f>
        <v>146200</v>
      </c>
      <c r="D115" s="54" t="s">
        <v>68</v>
      </c>
      <c r="E115" s="54" t="s">
        <v>213</v>
      </c>
      <c r="F115" s="79"/>
      <c r="G115" s="61">
        <v>44194</v>
      </c>
      <c r="H115" s="56">
        <v>0</v>
      </c>
      <c r="I115" s="56"/>
      <c r="J115" s="58">
        <v>0</v>
      </c>
      <c r="K115" s="56">
        <v>0</v>
      </c>
      <c r="L115" s="56">
        <v>0</v>
      </c>
      <c r="M115" s="61">
        <f t="shared" si="13"/>
        <v>44194</v>
      </c>
      <c r="N115" s="56">
        <f>IF(ISNA(VLOOKUP($B115,'[1]Current Provision - HYP'!$A$10:$BP$201,$E$5,FALSE))=TRUE,0,VLOOKUP($B115,'[1]Current Provision - HYP'!$A$10:$BP$201,$E$5,FALSE))</f>
        <v>0</v>
      </c>
      <c r="O115" s="56">
        <v>0</v>
      </c>
      <c r="P115" s="58">
        <v>0</v>
      </c>
      <c r="Q115" s="58">
        <v>0</v>
      </c>
      <c r="R115" s="58">
        <v>0</v>
      </c>
      <c r="S115" s="61">
        <f t="shared" si="14"/>
        <v>44194</v>
      </c>
      <c r="T115" s="56"/>
      <c r="U115" s="63">
        <f t="shared" si="15"/>
        <v>17191.465999999997</v>
      </c>
      <c r="V115" s="56">
        <f t="shared" si="16"/>
        <v>0</v>
      </c>
      <c r="W115" s="64">
        <f t="shared" si="17"/>
        <v>17191.465999999997</v>
      </c>
      <c r="X115" s="77"/>
      <c r="Y115" s="77"/>
      <c r="Z115" s="78">
        <f t="shared" si="18"/>
        <v>0</v>
      </c>
    </row>
    <row r="116" spans="1:26" ht="15">
      <c r="A116" s="74" t="s">
        <v>214</v>
      </c>
      <c r="B116" s="75" t="str">
        <f>IF(ISNA(VLOOKUP($A116,'[1]Coding (Do not delete)'!$A$7:$K$656,3,FALSE))=TRUE,0,VLOOKUP($A116,'[1]Coding (Do not delete)'!$A$7:$K$656,8,FALSE))</f>
        <v>JE#  T121  Incentive Plan (Incen 2)</v>
      </c>
      <c r="C116" s="54">
        <f>IF(ISNA(VLOOKUP($A116,'[1]Coding (Do not delete)'!$A$7:$K$656,5,FALSE))=TRUE,0,VLOOKUP($A116,'[1]Coding (Do not delete)'!$A$7:$K$656,5,FALSE))</f>
        <v>146200</v>
      </c>
      <c r="D116" s="54" t="s">
        <v>68</v>
      </c>
      <c r="E116" s="54" t="s">
        <v>213</v>
      </c>
      <c r="F116" s="79"/>
      <c r="G116" s="61">
        <v>87875</v>
      </c>
      <c r="H116" s="56">
        <v>0</v>
      </c>
      <c r="I116" s="56"/>
      <c r="J116" s="58">
        <v>0</v>
      </c>
      <c r="K116" s="56">
        <v>0</v>
      </c>
      <c r="L116" s="56">
        <v>0</v>
      </c>
      <c r="M116" s="61">
        <f t="shared" si="13"/>
        <v>87875</v>
      </c>
      <c r="N116" s="56">
        <f>IF(ISNA(VLOOKUP($B116,'[1]Current Provision - HYP'!$A$10:$BP$201,$E$5,FALSE))=TRUE,0,VLOOKUP($B116,'[1]Current Provision - HYP'!$A$10:$BP$201,$E$5,FALSE))</f>
        <v>0</v>
      </c>
      <c r="O116" s="56">
        <v>0</v>
      </c>
      <c r="P116" s="58">
        <v>0</v>
      </c>
      <c r="Q116" s="58">
        <v>0</v>
      </c>
      <c r="R116" s="58">
        <v>0</v>
      </c>
      <c r="S116" s="61">
        <f t="shared" si="14"/>
        <v>87875</v>
      </c>
      <c r="T116" s="56"/>
      <c r="U116" s="63">
        <f t="shared" si="15"/>
        <v>34183.374999999993</v>
      </c>
      <c r="V116" s="56">
        <f t="shared" si="16"/>
        <v>0</v>
      </c>
      <c r="W116" s="64">
        <f t="shared" si="17"/>
        <v>34183.374999999993</v>
      </c>
      <c r="X116" s="77"/>
      <c r="Y116" s="77"/>
      <c r="Z116" s="78">
        <f t="shared" si="18"/>
        <v>0</v>
      </c>
    </row>
    <row r="117" spans="1:26" ht="15">
      <c r="A117" s="74" t="s">
        <v>215</v>
      </c>
      <c r="B117" s="75" t="str">
        <f>IF(ISNA(VLOOKUP($A117,'[1]Coding (Do not delete)'!$A$7:$K$656,3,FALSE))=TRUE,0,VLOOKUP($A117,'[1]Coding (Do not delete)'!$A$7:$K$656,8,FALSE))</f>
        <v>JE#  T122  Incentive Plan (Incen 3)</v>
      </c>
      <c r="C117" s="54">
        <f>IF(ISNA(VLOOKUP($A117,'[1]Coding (Do not delete)'!$A$7:$K$656,5,FALSE))=TRUE,0,VLOOKUP($A117,'[1]Coding (Do not delete)'!$A$7:$K$656,5,FALSE))</f>
        <v>262317</v>
      </c>
      <c r="D117" s="54" t="s">
        <v>68</v>
      </c>
      <c r="E117" s="54" t="s">
        <v>216</v>
      </c>
      <c r="F117" s="79"/>
      <c r="G117" s="61">
        <v>-39181.61</v>
      </c>
      <c r="H117" s="56">
        <v>-101275</v>
      </c>
      <c r="I117" s="56"/>
      <c r="J117" s="259">
        <v>52304</v>
      </c>
      <c r="K117" s="56">
        <v>0</v>
      </c>
      <c r="L117" s="56">
        <v>0</v>
      </c>
      <c r="M117" s="61">
        <f t="shared" si="13"/>
        <v>-88152.609999999986</v>
      </c>
      <c r="N117" s="56">
        <f>IF(ISNA(VLOOKUP($B117,'[1]Current Provision - HYP'!$A$10:$BP$201,$E$5,FALSE))=TRUE,0,VLOOKUP($B117,'[1]Current Provision - HYP'!$A$10:$BP$201,$E$5,FALSE))</f>
        <v>-186259.26000000007</v>
      </c>
      <c r="O117" s="56">
        <v>0</v>
      </c>
      <c r="P117" s="58">
        <v>0</v>
      </c>
      <c r="Q117" s="58">
        <v>0</v>
      </c>
      <c r="R117" s="58">
        <v>0</v>
      </c>
      <c r="S117" s="61">
        <f t="shared" si="14"/>
        <v>-274411.87000000005</v>
      </c>
      <c r="T117" s="56"/>
      <c r="U117" s="63">
        <f t="shared" si="15"/>
        <v>0</v>
      </c>
      <c r="V117" s="56">
        <f t="shared" si="16"/>
        <v>106746.21743</v>
      </c>
      <c r="W117" s="64">
        <f t="shared" si="17"/>
        <v>-106746.21743</v>
      </c>
      <c r="X117" s="77"/>
      <c r="Y117" s="77"/>
      <c r="Z117" s="78">
        <f t="shared" si="18"/>
        <v>0</v>
      </c>
    </row>
    <row r="118" spans="1:26">
      <c r="A118" s="74" t="s">
        <v>217</v>
      </c>
      <c r="B118" s="75" t="str">
        <f>IF(ISNA(VLOOKUP($A118,'[1]Coding (Do not delete)'!$A$7:$K$656,3,FALSE))=TRUE,0,VLOOKUP($A118,'[1]Coding (Do not delete)'!$A$7:$K$656,8,FALSE))</f>
        <v>JE#  ZZ26  Def Hist - Def Comp Incentive Plan a/c 262317</v>
      </c>
      <c r="C118" s="54">
        <f>IF(ISNA(VLOOKUP($A118,'[1]Coding (Do not delete)'!$A$7:$K$656,5,FALSE))=TRUE,0,VLOOKUP($A118,'[1]Coding (Do not delete)'!$A$7:$K$656,5,FALSE))</f>
        <v>262317</v>
      </c>
      <c r="D118" s="54" t="s">
        <v>68</v>
      </c>
      <c r="E118" s="54" t="s">
        <v>216</v>
      </c>
      <c r="F118" s="79"/>
      <c r="G118" s="61">
        <v>-30</v>
      </c>
      <c r="H118" s="56">
        <v>0</v>
      </c>
      <c r="I118" s="56"/>
      <c r="J118" s="58">
        <v>0</v>
      </c>
      <c r="K118" s="56">
        <v>0</v>
      </c>
      <c r="L118" s="56">
        <v>0</v>
      </c>
      <c r="M118" s="61">
        <f t="shared" si="13"/>
        <v>-30</v>
      </c>
      <c r="N118" s="56">
        <f>IF(ISNA(VLOOKUP($B118,'[1]Current Provision - HYP'!$A$10:$BP$201,$E$5,FALSE))=TRUE,0,VLOOKUP($B118,'[1]Current Provision - HYP'!$A$10:$BP$201,$E$5,FALSE))</f>
        <v>0</v>
      </c>
      <c r="O118" s="56">
        <v>0</v>
      </c>
      <c r="P118" s="58">
        <v>0</v>
      </c>
      <c r="Q118" s="58">
        <v>0</v>
      </c>
      <c r="R118" s="58">
        <v>0</v>
      </c>
      <c r="S118" s="61">
        <f t="shared" si="14"/>
        <v>-30</v>
      </c>
      <c r="T118" s="56"/>
      <c r="U118" s="63">
        <f t="shared" si="15"/>
        <v>0</v>
      </c>
      <c r="V118" s="56">
        <f t="shared" si="16"/>
        <v>11.669999999999998</v>
      </c>
      <c r="W118" s="64">
        <f t="shared" si="17"/>
        <v>-11.669999999999998</v>
      </c>
      <c r="X118" s="58"/>
      <c r="Z118" s="11">
        <f t="shared" si="18"/>
        <v>0</v>
      </c>
    </row>
    <row r="119" spans="1:26" ht="15">
      <c r="A119" s="74" t="s">
        <v>218</v>
      </c>
      <c r="B119" s="75" t="str">
        <f>IF(ISNA(VLOOKUP($A119,'[1]Coding (Do not delete)'!$A$7:$K$656,3,FALSE))=TRUE,0,VLOOKUP($A119,'[1]Coding (Do not delete)'!$A$7:$K$656,8,FALSE))</f>
        <v>JE#  T123  Incentive Plan (Incen 4) - AWW Only</v>
      </c>
      <c r="C119" s="54">
        <f>IF(ISNA(VLOOKUP($A119,'[1]Coding (Do not delete)'!$A$7:$K$656,5,FALSE))=TRUE,0,VLOOKUP($A119,'[1]Coding (Do not delete)'!$A$7:$K$656,5,FALSE))</f>
        <v>205425</v>
      </c>
      <c r="D119" s="54" t="s">
        <v>68</v>
      </c>
      <c r="E119" s="54" t="s">
        <v>213</v>
      </c>
      <c r="F119" s="79"/>
      <c r="G119" s="61">
        <v>0</v>
      </c>
      <c r="H119" s="56">
        <v>0</v>
      </c>
      <c r="I119" s="56"/>
      <c r="J119" s="58">
        <v>0</v>
      </c>
      <c r="K119" s="56">
        <v>0</v>
      </c>
      <c r="L119" s="56">
        <v>0</v>
      </c>
      <c r="M119" s="61">
        <f t="shared" si="13"/>
        <v>0</v>
      </c>
      <c r="N119" s="56">
        <f>IF(ISNA(VLOOKUP($B119,'[1]Current Provision - HYP'!$A$10:$BP$201,$E$5,FALSE))=TRUE,0,VLOOKUP($B119,'[1]Current Provision - HYP'!$A$10:$BP$201,$E$5,FALSE))</f>
        <v>0</v>
      </c>
      <c r="O119" s="56">
        <v>0</v>
      </c>
      <c r="P119" s="58">
        <v>0</v>
      </c>
      <c r="Q119" s="58">
        <v>0</v>
      </c>
      <c r="R119" s="58">
        <v>0</v>
      </c>
      <c r="S119" s="61">
        <f t="shared" si="14"/>
        <v>0</v>
      </c>
      <c r="T119" s="56"/>
      <c r="U119" s="63">
        <f t="shared" si="15"/>
        <v>0</v>
      </c>
      <c r="V119" s="56">
        <f t="shared" si="16"/>
        <v>0</v>
      </c>
      <c r="W119" s="64">
        <f t="shared" si="17"/>
        <v>0</v>
      </c>
      <c r="X119" s="77"/>
      <c r="Y119" s="77"/>
      <c r="Z119" s="78">
        <f t="shared" si="18"/>
        <v>0</v>
      </c>
    </row>
    <row r="120" spans="1:26" ht="15">
      <c r="A120" s="74" t="s">
        <v>219</v>
      </c>
      <c r="B120" s="75" t="str">
        <f>IF(ISNA(VLOOKUP($A120,'[1]Coding (Do not delete)'!$A$7:$K$656,3,FALSE))=TRUE,0,VLOOKUP($A120,'[1]Coding (Do not delete)'!$A$7:$K$656,8,FALSE))</f>
        <v>JE#  T124  Incentive Plan (Incent 5)</v>
      </c>
      <c r="C120" s="54">
        <f>IF(ISNA(VLOOKUP($A120,'[1]Coding (Do not delete)'!$A$7:$K$656,5,FALSE))=TRUE,0,VLOOKUP($A120,'[1]Coding (Do not delete)'!$A$7:$K$656,5,FALSE))</f>
        <v>262318</v>
      </c>
      <c r="D120" s="54" t="s">
        <v>68</v>
      </c>
      <c r="E120" s="54" t="s">
        <v>213</v>
      </c>
      <c r="F120" s="79"/>
      <c r="G120" s="61">
        <v>0</v>
      </c>
      <c r="H120" s="56">
        <v>0</v>
      </c>
      <c r="I120" s="56"/>
      <c r="J120" s="58">
        <v>0</v>
      </c>
      <c r="K120" s="56">
        <v>0</v>
      </c>
      <c r="L120" s="56">
        <v>0</v>
      </c>
      <c r="M120" s="61">
        <f t="shared" si="13"/>
        <v>0</v>
      </c>
      <c r="N120" s="56">
        <f>IF(ISNA(VLOOKUP($B120,'[1]Current Provision - HYP'!$A$10:$BP$201,$E$5,FALSE))=TRUE,0,VLOOKUP($B120,'[1]Current Provision - HYP'!$A$10:$BP$201,$E$5,FALSE))</f>
        <v>0</v>
      </c>
      <c r="O120" s="56">
        <v>0</v>
      </c>
      <c r="P120" s="58">
        <v>0</v>
      </c>
      <c r="Q120" s="58">
        <v>0</v>
      </c>
      <c r="R120" s="58">
        <v>0</v>
      </c>
      <c r="S120" s="61">
        <f t="shared" si="14"/>
        <v>0</v>
      </c>
      <c r="T120" s="56"/>
      <c r="U120" s="63">
        <f t="shared" si="15"/>
        <v>0</v>
      </c>
      <c r="V120" s="56">
        <f t="shared" si="16"/>
        <v>0</v>
      </c>
      <c r="W120" s="64">
        <f t="shared" si="17"/>
        <v>0</v>
      </c>
      <c r="X120" s="77"/>
      <c r="Y120" s="77"/>
      <c r="Z120" s="78">
        <f t="shared" si="18"/>
        <v>0</v>
      </c>
    </row>
    <row r="121" spans="1:26">
      <c r="A121" s="74" t="s">
        <v>220</v>
      </c>
      <c r="B121" s="75" t="str">
        <f>IF(ISNA(VLOOKUP($A121,'[1]Coding (Do not delete)'!$A$7:$K$656,3,FALSE))=TRUE,0,VLOOKUP($A121,'[1]Coding (Do not delete)'!$A$7:$K$656,8,FALSE))</f>
        <v>JE#  ZZ39  Def Hist - Incentive Plan-Stock - a/c 262318</v>
      </c>
      <c r="C121" s="65">
        <f>IF(ISNA(VLOOKUP($A121,'[1]Coding (Do not delete)'!$A$7:$K$656,5,FALSE))=TRUE,0,VLOOKUP($A121,'[1]Coding (Do not delete)'!$A$7:$K$656,5,FALSE))</f>
        <v>262318</v>
      </c>
      <c r="D121" s="65" t="s">
        <v>68</v>
      </c>
      <c r="E121" s="65" t="s">
        <v>213</v>
      </c>
      <c r="F121" s="79"/>
      <c r="G121" s="61">
        <v>0</v>
      </c>
      <c r="H121" s="56">
        <v>0</v>
      </c>
      <c r="I121" s="56"/>
      <c r="J121" s="58">
        <v>0</v>
      </c>
      <c r="K121" s="56">
        <v>0</v>
      </c>
      <c r="L121" s="56">
        <v>0</v>
      </c>
      <c r="M121" s="61">
        <f t="shared" si="13"/>
        <v>0</v>
      </c>
      <c r="N121" s="56">
        <f>IF(ISNA(VLOOKUP($B121,'[1]Current Provision - HYP'!$A$10:$BP$201,$E$5,FALSE))=TRUE,0,VLOOKUP($B121,'[1]Current Provision - HYP'!$A$10:$BP$201,$E$5,FALSE))</f>
        <v>0</v>
      </c>
      <c r="O121" s="56">
        <v>0</v>
      </c>
      <c r="P121" s="58">
        <v>0</v>
      </c>
      <c r="Q121" s="58">
        <v>0</v>
      </c>
      <c r="R121" s="58">
        <v>0</v>
      </c>
      <c r="S121" s="61">
        <f t="shared" si="14"/>
        <v>0</v>
      </c>
      <c r="T121" s="56"/>
      <c r="U121" s="63">
        <f t="shared" si="15"/>
        <v>0</v>
      </c>
      <c r="V121" s="56">
        <f t="shared" si="16"/>
        <v>0</v>
      </c>
      <c r="W121" s="64">
        <f t="shared" si="17"/>
        <v>0</v>
      </c>
      <c r="X121" s="58"/>
      <c r="Z121" s="11">
        <f t="shared" si="18"/>
        <v>0</v>
      </c>
    </row>
    <row r="122" spans="1:26">
      <c r="A122" s="74" t="s">
        <v>221</v>
      </c>
      <c r="B122" s="75" t="str">
        <f>IF(ISNA(VLOOKUP($A122,'[1]Coding (Do not delete)'!$A$7:$K$656,3,FALSE))=TRUE,0,VLOOKUP($A122,'[1]Coding (Do not delete)'!$A$7:$K$656,8,FALSE))</f>
        <v>JE#  T021  Deferred Revenue - CIAC (CIAC 2)</v>
      </c>
      <c r="C122" s="65">
        <f>IF(ISNA(VLOOKUP($A122,'[1]Coding (Do not delete)'!$A$7:$K$656,5,FALSE))=TRUE,0,VLOOKUP($A122,'[1]Coding (Do not delete)'!$A$7:$K$656,5,FALSE))</f>
        <v>262400</v>
      </c>
      <c r="D122" s="65" t="s">
        <v>145</v>
      </c>
      <c r="E122" s="65" t="s">
        <v>196</v>
      </c>
      <c r="F122" s="79"/>
      <c r="G122" s="61">
        <v>0</v>
      </c>
      <c r="H122" s="56">
        <v>0</v>
      </c>
      <c r="I122" s="56"/>
      <c r="J122" s="58">
        <v>0</v>
      </c>
      <c r="K122" s="56">
        <v>0</v>
      </c>
      <c r="L122" s="56">
        <v>0</v>
      </c>
      <c r="M122" s="61">
        <f t="shared" si="13"/>
        <v>0</v>
      </c>
      <c r="N122" s="56">
        <f>IF(ISNA(VLOOKUP($B122,'[1]Current Provision - HYP'!$A$10:$BP$201,$E$5,FALSE))=TRUE,0,VLOOKUP($B122,'[1]Current Provision - HYP'!$A$10:$BP$201,$E$5,FALSE))</f>
        <v>0</v>
      </c>
      <c r="O122" s="56">
        <v>0</v>
      </c>
      <c r="P122" s="58">
        <v>0</v>
      </c>
      <c r="Q122" s="58">
        <v>0</v>
      </c>
      <c r="R122" s="58">
        <v>0</v>
      </c>
      <c r="S122" s="61">
        <f t="shared" si="14"/>
        <v>0</v>
      </c>
      <c r="T122" s="56"/>
      <c r="U122" s="63">
        <f t="shared" si="15"/>
        <v>0</v>
      </c>
      <c r="V122" s="56">
        <f t="shared" si="16"/>
        <v>0</v>
      </c>
      <c r="W122" s="64">
        <f t="shared" si="17"/>
        <v>0</v>
      </c>
      <c r="Z122" s="11">
        <f t="shared" si="18"/>
        <v>0</v>
      </c>
    </row>
    <row r="123" spans="1:26">
      <c r="A123" s="74" t="s">
        <v>222</v>
      </c>
      <c r="B123" s="75" t="str">
        <f>IF(ISNA(VLOOKUP($A123,'[1]Coding (Do not delete)'!$A$7:$K$656,3,FALSE))=TRUE,0,VLOOKUP($A123,'[1]Coding (Do not delete)'!$A$7:$K$656,8,FALSE))</f>
        <v>JE#  T026  Deferred Revenue - AIC (CAC 2)</v>
      </c>
      <c r="C123" s="65">
        <f>IF(ISNA(VLOOKUP($A123,'[1]Coding (Do not delete)'!$A$7:$K$656,5,FALSE))=TRUE,0,VLOOKUP($A123,'[1]Coding (Do not delete)'!$A$7:$K$656,5,FALSE))</f>
        <v>262420</v>
      </c>
      <c r="D123" s="65" t="s">
        <v>145</v>
      </c>
      <c r="E123" s="65" t="s">
        <v>196</v>
      </c>
      <c r="F123" s="79"/>
      <c r="G123" s="61">
        <v>-5600137</v>
      </c>
      <c r="H123" s="56">
        <v>0</v>
      </c>
      <c r="I123" s="56"/>
      <c r="J123" s="58">
        <v>0</v>
      </c>
      <c r="K123" s="56">
        <v>0</v>
      </c>
      <c r="L123" s="56">
        <v>0</v>
      </c>
      <c r="M123" s="61">
        <f t="shared" si="13"/>
        <v>-5600137</v>
      </c>
      <c r="N123" s="56">
        <f>IF(ISNA(VLOOKUP($B123,'[1]Current Provision - HYP'!$A$10:$BP$201,$E$5,FALSE))=TRUE,0,VLOOKUP($B123,'[1]Current Provision - HYP'!$A$10:$BP$201,$E$5,FALSE))</f>
        <v>0</v>
      </c>
      <c r="O123" s="56">
        <v>0</v>
      </c>
      <c r="P123" s="58">
        <v>0</v>
      </c>
      <c r="Q123" s="58">
        <v>0</v>
      </c>
      <c r="R123" s="58">
        <v>0</v>
      </c>
      <c r="S123" s="61">
        <f t="shared" si="14"/>
        <v>-5600137</v>
      </c>
      <c r="T123" s="56"/>
      <c r="U123" s="63">
        <f t="shared" si="15"/>
        <v>0</v>
      </c>
      <c r="V123" s="56">
        <f t="shared" si="16"/>
        <v>2178453.2929999996</v>
      </c>
      <c r="W123" s="64">
        <f t="shared" si="17"/>
        <v>-2178453.2929999996</v>
      </c>
      <c r="Z123" s="11">
        <f t="shared" si="18"/>
        <v>0</v>
      </c>
    </row>
    <row r="124" spans="1:26" ht="15">
      <c r="A124" s="74" t="s">
        <v>223</v>
      </c>
      <c r="B124" s="75" t="str">
        <f>IF(ISNA(VLOOKUP($A124,'[1]Coding (Do not delete)'!$A$7:$K$656,3,FALSE))=TRUE,0,VLOOKUP($A124,'[1]Coding (Do not delete)'!$A$7:$K$656,8,FALSE))</f>
        <v>JE#  T161  Deferred Maintenance (Maint 2)</v>
      </c>
      <c r="C124" s="54">
        <f>IF(ISNA(VLOOKUP($A124,'[1]Coding (Do not delete)'!$A$7:$K$656,5,FALSE))=TRUE,0,VLOOKUP($A124,'[1]Coding (Do not delete)'!$A$7:$K$656,5,FALSE))</f>
        <v>265650</v>
      </c>
      <c r="D124" s="54" t="s">
        <v>68</v>
      </c>
      <c r="E124" s="54" t="s">
        <v>72</v>
      </c>
      <c r="F124" s="79"/>
      <c r="G124" s="61">
        <v>0</v>
      </c>
      <c r="H124" s="56">
        <v>0</v>
      </c>
      <c r="I124" s="56"/>
      <c r="J124" s="58">
        <v>0</v>
      </c>
      <c r="K124" s="56">
        <v>0</v>
      </c>
      <c r="L124" s="56">
        <v>0</v>
      </c>
      <c r="M124" s="61">
        <f t="shared" si="13"/>
        <v>0</v>
      </c>
      <c r="N124" s="56">
        <f>IF(ISNA(VLOOKUP($B124,'[1]Current Provision - HYP'!$A$10:$BP$201,$E$5,FALSE))=TRUE,0,VLOOKUP($B124,'[1]Current Provision - HYP'!$A$10:$BP$201,$E$5,FALSE))</f>
        <v>0</v>
      </c>
      <c r="O124" s="56">
        <v>0</v>
      </c>
      <c r="P124" s="58">
        <v>0</v>
      </c>
      <c r="Q124" s="58">
        <v>0</v>
      </c>
      <c r="R124" s="58">
        <v>0</v>
      </c>
      <c r="S124" s="61">
        <f t="shared" si="14"/>
        <v>0</v>
      </c>
      <c r="T124" s="56"/>
      <c r="U124" s="63">
        <f t="shared" si="15"/>
        <v>0</v>
      </c>
      <c r="V124" s="56">
        <f t="shared" si="16"/>
        <v>0</v>
      </c>
      <c r="W124" s="64">
        <f t="shared" si="17"/>
        <v>0</v>
      </c>
      <c r="X124" s="77"/>
      <c r="Y124" s="77"/>
      <c r="Z124" s="78">
        <f t="shared" si="18"/>
        <v>0</v>
      </c>
    </row>
    <row r="125" spans="1:26">
      <c r="A125" s="74" t="s">
        <v>224</v>
      </c>
      <c r="B125" s="75" t="str">
        <f>IF(ISNA(VLOOKUP($A125,'[1]Coding (Do not delete)'!$A$7:$K$656,3,FALSE))=TRUE,0,VLOOKUP($A125,'[1]Coding (Do not delete)'!$A$7:$K$656,8,FALSE))</f>
        <v>JE#  T020  Taxable Contributions (CIAC 1)</v>
      </c>
      <c r="C125" s="54">
        <f>IF(ISNA(VLOOKUP($A125,'[1]Coding (Do not delete)'!$A$7:$K$656,5,FALSE))=TRUE,0,VLOOKUP($A125,'[1]Coding (Do not delete)'!$A$7:$K$656,5,FALSE))</f>
        <v>271200</v>
      </c>
      <c r="D125" s="54" t="s">
        <v>145</v>
      </c>
      <c r="E125" s="54" t="s">
        <v>196</v>
      </c>
      <c r="F125" s="79"/>
      <c r="G125" s="61">
        <v>-10597444</v>
      </c>
      <c r="H125" s="56">
        <v>0</v>
      </c>
      <c r="I125" s="56"/>
      <c r="J125" s="58">
        <v>0</v>
      </c>
      <c r="K125" s="56">
        <v>0</v>
      </c>
      <c r="L125" s="56">
        <v>0</v>
      </c>
      <c r="M125" s="61">
        <f t="shared" si="13"/>
        <v>-10597444</v>
      </c>
      <c r="N125" s="56">
        <f>IF(ISNA(VLOOKUP($B125,'[1]Current Provision - HYP'!$A$10:$BP$201,$E$5,FALSE))=TRUE,0,VLOOKUP($B125,'[1]Current Provision - HYP'!$A$10:$BP$201,$E$5,FALSE))</f>
        <v>-1185161.5299999998</v>
      </c>
      <c r="O125" s="56">
        <v>0</v>
      </c>
      <c r="P125" s="58">
        <v>0</v>
      </c>
      <c r="Q125" s="58">
        <v>0</v>
      </c>
      <c r="R125" s="58">
        <v>0</v>
      </c>
      <c r="S125" s="61">
        <f t="shared" si="14"/>
        <v>-11782605.529999999</v>
      </c>
      <c r="T125" s="56"/>
      <c r="U125" s="63">
        <f t="shared" si="15"/>
        <v>0</v>
      </c>
      <c r="V125" s="56">
        <f t="shared" si="16"/>
        <v>4583433.5511699989</v>
      </c>
      <c r="W125" s="64">
        <f t="shared" si="17"/>
        <v>-4583433.5511699989</v>
      </c>
      <c r="Z125" s="11">
        <f t="shared" si="18"/>
        <v>0</v>
      </c>
    </row>
    <row r="126" spans="1:26">
      <c r="A126" s="74" t="s">
        <v>225</v>
      </c>
      <c r="B126" s="75" t="str">
        <f>IF(ISNA(VLOOKUP($A126,'[1]Coding (Do not delete)'!$A$7:$K$656,3,FALSE))=TRUE,0,VLOOKUP($A126,'[1]Coding (Do not delete)'!$A$7:$K$656,8,FALSE))</f>
        <v>JE#  ZZ32  Def Hist - CIAC-Taxable SIT a/c 271300</v>
      </c>
      <c r="C126" s="54">
        <f>IF(ISNA(VLOOKUP($A126,'[1]Coding (Do not delete)'!$A$7:$K$656,5,FALSE))=TRUE,0,VLOOKUP($A126,'[1]Coding (Do not delete)'!$A$7:$K$656,5,FALSE))</f>
        <v>271300</v>
      </c>
      <c r="D126" s="54" t="s">
        <v>68</v>
      </c>
      <c r="E126" s="54" t="s">
        <v>196</v>
      </c>
      <c r="F126" s="79"/>
      <c r="G126" s="61">
        <v>0</v>
      </c>
      <c r="H126" s="56">
        <v>0</v>
      </c>
      <c r="I126" s="56"/>
      <c r="J126" s="58">
        <v>0</v>
      </c>
      <c r="K126" s="56">
        <v>0</v>
      </c>
      <c r="L126" s="56">
        <v>0</v>
      </c>
      <c r="M126" s="61">
        <f t="shared" si="13"/>
        <v>0</v>
      </c>
      <c r="N126" s="56">
        <f>IF(ISNA(VLOOKUP($B126,'[1]Current Provision - HYP'!$A$10:$BP$201,$E$5,FALSE))=TRUE,0,VLOOKUP($B126,'[1]Current Provision - HYP'!$A$10:$BP$201,$E$5,FALSE))</f>
        <v>0</v>
      </c>
      <c r="O126" s="56">
        <v>0</v>
      </c>
      <c r="P126" s="58">
        <v>0</v>
      </c>
      <c r="Q126" s="58">
        <v>0</v>
      </c>
      <c r="R126" s="58">
        <v>0</v>
      </c>
      <c r="S126" s="61">
        <f t="shared" si="14"/>
        <v>0</v>
      </c>
      <c r="T126" s="56"/>
      <c r="U126" s="63">
        <f t="shared" si="15"/>
        <v>0</v>
      </c>
      <c r="V126" s="56">
        <f t="shared" si="16"/>
        <v>0</v>
      </c>
      <c r="W126" s="64">
        <f t="shared" si="17"/>
        <v>0</v>
      </c>
      <c r="X126" s="58"/>
      <c r="Z126" s="11">
        <f t="shared" si="18"/>
        <v>0</v>
      </c>
    </row>
    <row r="127" spans="1:26">
      <c r="A127" s="74" t="s">
        <v>226</v>
      </c>
      <c r="B127" s="75" t="str">
        <f>IF(ISNA(VLOOKUP($A127,'[1]Coding (Do not delete)'!$A$7:$K$656,3,FALSE))=TRUE,0,VLOOKUP($A127,'[1]Coding (Do not delete)'!$A$7:$K$656,8,FALSE))</f>
        <v>JE#  ZZ30  Def Hist - Accum Amort-CIAC a/c 272000</v>
      </c>
      <c r="C127" s="54">
        <f>IF(ISNA(VLOOKUP($A127,'[1]Coding (Do not delete)'!$A$7:$K$656,5,FALSE))=TRUE,0,VLOOKUP($A127,'[1]Coding (Do not delete)'!$A$7:$K$656,5,FALSE))</f>
        <v>272000</v>
      </c>
      <c r="D127" s="54" t="s">
        <v>68</v>
      </c>
      <c r="E127" s="54" t="s">
        <v>90</v>
      </c>
      <c r="F127" s="79"/>
      <c r="G127" s="61">
        <v>0</v>
      </c>
      <c r="H127" s="56">
        <v>0</v>
      </c>
      <c r="I127" s="56"/>
      <c r="J127" s="58">
        <v>0</v>
      </c>
      <c r="K127" s="56">
        <v>0</v>
      </c>
      <c r="L127" s="56">
        <v>0</v>
      </c>
      <c r="M127" s="61">
        <f t="shared" si="13"/>
        <v>0</v>
      </c>
      <c r="N127" s="56">
        <f>IF(ISNA(VLOOKUP($B127,'[1]Current Provision - HYP'!$A$10:$BP$201,$E$5,FALSE))=TRUE,0,VLOOKUP($B127,'[1]Current Provision - HYP'!$A$10:$BP$201,$E$5,FALSE))</f>
        <v>0</v>
      </c>
      <c r="O127" s="56">
        <v>0</v>
      </c>
      <c r="P127" s="58">
        <v>0</v>
      </c>
      <c r="Q127" s="58">
        <v>0</v>
      </c>
      <c r="R127" s="58">
        <v>0</v>
      </c>
      <c r="S127" s="61">
        <f t="shared" si="14"/>
        <v>0</v>
      </c>
      <c r="T127" s="56"/>
      <c r="U127" s="63">
        <f t="shared" si="15"/>
        <v>0</v>
      </c>
      <c r="V127" s="56">
        <f t="shared" si="16"/>
        <v>0</v>
      </c>
      <c r="W127" s="64">
        <f t="shared" si="17"/>
        <v>0</v>
      </c>
      <c r="X127" s="58"/>
      <c r="Z127" s="11">
        <f t="shared" si="18"/>
        <v>0</v>
      </c>
    </row>
    <row r="128" spans="1:26">
      <c r="A128" s="74" t="s">
        <v>227</v>
      </c>
      <c r="B128" s="75" t="str">
        <f>IF(ISNA(VLOOKUP($A128,'[1]Coding (Do not delete)'!$A$7:$K$656,3,FALSE))=TRUE,0,VLOOKUP($A128,'[1]Coding (Do not delete)'!$A$7:$K$656,8,FALSE))</f>
        <v>JE#  ZZ35  Def Hist - Acc Amort-CIAC Taxable a/c 272100</v>
      </c>
      <c r="C128" s="65">
        <f>IF(ISNA(VLOOKUP($A128,'[1]Coding (Do not delete)'!$A$7:$K$656,5,FALSE))=TRUE,0,VLOOKUP($A128,'[1]Coding (Do not delete)'!$A$7:$K$656,5,FALSE))</f>
        <v>272100</v>
      </c>
      <c r="D128" s="65" t="s">
        <v>68</v>
      </c>
      <c r="E128" s="65" t="s">
        <v>90</v>
      </c>
      <c r="F128" s="79"/>
      <c r="G128" s="61">
        <v>0</v>
      </c>
      <c r="H128" s="56">
        <v>0</v>
      </c>
      <c r="I128" s="56"/>
      <c r="J128" s="58">
        <v>0</v>
      </c>
      <c r="K128" s="56">
        <v>0</v>
      </c>
      <c r="L128" s="56">
        <v>0</v>
      </c>
      <c r="M128" s="61">
        <f t="shared" si="13"/>
        <v>0</v>
      </c>
      <c r="N128" s="56">
        <f>IF(ISNA(VLOOKUP($B128,'[1]Current Provision - HYP'!$A$10:$BP$201,$E$5,FALSE))=TRUE,0,VLOOKUP($B128,'[1]Current Provision - HYP'!$A$10:$BP$201,$E$5,FALSE))</f>
        <v>0</v>
      </c>
      <c r="O128" s="56">
        <v>0</v>
      </c>
      <c r="P128" s="58">
        <v>0</v>
      </c>
      <c r="Q128" s="58">
        <v>0</v>
      </c>
      <c r="R128" s="58">
        <v>0</v>
      </c>
      <c r="S128" s="61">
        <f t="shared" si="14"/>
        <v>0</v>
      </c>
      <c r="T128" s="56"/>
      <c r="U128" s="63">
        <f t="shared" si="15"/>
        <v>0</v>
      </c>
      <c r="V128" s="56">
        <f t="shared" si="16"/>
        <v>0</v>
      </c>
      <c r="W128" s="64">
        <f t="shared" si="17"/>
        <v>0</v>
      </c>
      <c r="X128" s="58"/>
      <c r="Z128" s="11">
        <f t="shared" si="18"/>
        <v>0</v>
      </c>
    </row>
    <row r="129" spans="1:26">
      <c r="A129" s="74" t="s">
        <v>228</v>
      </c>
      <c r="B129" s="75" t="str">
        <f>IF(ISNA(VLOOKUP($A129,'[1]Coding (Do not delete)'!$A$7:$K$656,3,FALSE))=TRUE,0,VLOOKUP($A129,'[1]Coding (Do not delete)'!$A$7:$K$656,8,FALSE))</f>
        <v>JE#  T061  Deferred Tax Gain (Disp 2)</v>
      </c>
      <c r="C129" s="65">
        <f>IF(ISNA(VLOOKUP($A129,'[1]Coding (Do not delete)'!$A$7:$K$656,5,FALSE))=TRUE,0,VLOOKUP($A129,'[1]Coding (Do not delete)'!$A$7:$K$656,5,FALSE))</f>
        <v>900100</v>
      </c>
      <c r="D129" s="65" t="s">
        <v>93</v>
      </c>
      <c r="E129" s="65" t="s">
        <v>90</v>
      </c>
      <c r="F129" s="79"/>
      <c r="G129" s="61">
        <v>0</v>
      </c>
      <c r="H129" s="56">
        <v>0</v>
      </c>
      <c r="I129" s="56"/>
      <c r="J129" s="58">
        <v>0</v>
      </c>
      <c r="K129" s="56">
        <v>0</v>
      </c>
      <c r="L129" s="56">
        <v>0</v>
      </c>
      <c r="M129" s="61">
        <f t="shared" si="13"/>
        <v>0</v>
      </c>
      <c r="N129" s="56">
        <f>IF(ISNA(VLOOKUP($B129,'[1]Current Provision - HYP'!$A$10:$BP$201,$E$5,FALSE))=TRUE,0,VLOOKUP($B129,'[1]Current Provision - HYP'!$A$10:$BP$201,$E$5,FALSE))</f>
        <v>0</v>
      </c>
      <c r="O129" s="56">
        <v>0</v>
      </c>
      <c r="P129" s="58">
        <v>0</v>
      </c>
      <c r="Q129" s="58">
        <v>0</v>
      </c>
      <c r="R129" s="58">
        <v>0</v>
      </c>
      <c r="S129" s="61">
        <f t="shared" si="14"/>
        <v>0</v>
      </c>
      <c r="T129" s="56"/>
      <c r="U129" s="63">
        <f t="shared" si="15"/>
        <v>0</v>
      </c>
      <c r="V129" s="56">
        <f t="shared" si="16"/>
        <v>0</v>
      </c>
      <c r="W129" s="64">
        <f t="shared" si="17"/>
        <v>0</v>
      </c>
      <c r="Z129" s="11">
        <f t="shared" si="18"/>
        <v>0</v>
      </c>
    </row>
    <row r="130" spans="1:26">
      <c r="A130" s="74" t="s">
        <v>229</v>
      </c>
      <c r="B130" s="75" t="str">
        <f>IF(ISNA(VLOOKUP($A130,'[1]Coding (Do not delete)'!$A$7:$K$656,3,FALSE))=TRUE,0,VLOOKUP($A130,'[1]Coding (Do not delete)'!$A$7:$K$656,8,FALSE))</f>
        <v>JE#  T080  Current Deferred SIT/LIT (SIT 1)</v>
      </c>
      <c r="C130" s="65">
        <f>IF(ISNA(VLOOKUP($A130,'[1]Coding (Do not delete)'!$A$7:$K$656,5,FALSE))=TRUE,0,VLOOKUP($A130,'[1]Coding (Do not delete)'!$A$7:$K$656,5,FALSE))</f>
        <v>236320</v>
      </c>
      <c r="D130" s="65" t="s">
        <v>76</v>
      </c>
      <c r="E130" s="65" t="s">
        <v>72</v>
      </c>
      <c r="F130" s="79"/>
      <c r="G130" s="61">
        <v>0</v>
      </c>
      <c r="H130" s="56">
        <v>0</v>
      </c>
      <c r="I130" s="56"/>
      <c r="J130" s="58">
        <v>0</v>
      </c>
      <c r="K130" s="56">
        <v>0</v>
      </c>
      <c r="L130" s="56">
        <v>0</v>
      </c>
      <c r="M130" s="61">
        <f t="shared" si="13"/>
        <v>0</v>
      </c>
      <c r="N130" s="56">
        <f>IF(ISNA(VLOOKUP($B130,'[1]Current Provision - HYP'!$A$10:$BP$201,$E$5,FALSE))=TRUE,0,VLOOKUP($B130,'[1]Current Provision - HYP'!$A$10:$BP$201,$E$5,FALSE))</f>
        <v>0</v>
      </c>
      <c r="O130" s="56">
        <v>0</v>
      </c>
      <c r="P130" s="58">
        <v>0</v>
      </c>
      <c r="Q130" s="58">
        <v>0</v>
      </c>
      <c r="R130" s="58">
        <v>0</v>
      </c>
      <c r="S130" s="61">
        <f t="shared" si="14"/>
        <v>0</v>
      </c>
      <c r="T130" s="56"/>
      <c r="U130" s="63">
        <f t="shared" si="15"/>
        <v>0</v>
      </c>
      <c r="V130" s="56">
        <f t="shared" si="16"/>
        <v>0</v>
      </c>
      <c r="W130" s="64">
        <f t="shared" si="17"/>
        <v>0</v>
      </c>
      <c r="Z130" s="11">
        <f t="shared" si="18"/>
        <v>0</v>
      </c>
    </row>
    <row r="131" spans="1:26">
      <c r="A131" s="74" t="s">
        <v>230</v>
      </c>
      <c r="B131" s="75" t="str">
        <f>IF(ISNA(VLOOKUP($A131,'[1]Coding (Do not delete)'!$A$7:$K$656,3,FALSE))=TRUE,0,VLOOKUP($A131,'[1]Coding (Do not delete)'!$A$7:$K$656,8,FALSE))</f>
        <v>JE#  T081  Noncurrent Deferred SIT/LIT (SIT 2)</v>
      </c>
      <c r="C131" s="65">
        <f>IF(ISNA(VLOOKUP($A131,'[1]Coding (Do not delete)'!$A$7:$K$656,5,FALSE))=TRUE,0,VLOOKUP($A131,'[1]Coding (Do not delete)'!$A$7:$K$656,5,FALSE))</f>
        <v>253220</v>
      </c>
      <c r="D131" s="65" t="s">
        <v>76</v>
      </c>
      <c r="E131" s="65" t="s">
        <v>72</v>
      </c>
      <c r="F131" s="79"/>
      <c r="G131" s="61">
        <v>0</v>
      </c>
      <c r="H131" s="56">
        <v>0</v>
      </c>
      <c r="I131" s="56"/>
      <c r="J131" s="58">
        <v>0</v>
      </c>
      <c r="K131" s="56">
        <v>0</v>
      </c>
      <c r="L131" s="56">
        <v>0</v>
      </c>
      <c r="M131" s="61">
        <f t="shared" si="13"/>
        <v>0</v>
      </c>
      <c r="N131" s="56">
        <f>IF(ISNA(VLOOKUP($B131,'[1]Current Provision - HYP'!$A$10:$BP$201,$E$5,FALSE))=TRUE,0,VLOOKUP($B131,'[1]Current Provision - HYP'!$A$10:$BP$201,$E$5,FALSE))</f>
        <v>0</v>
      </c>
      <c r="O131" s="56">
        <v>0</v>
      </c>
      <c r="P131" s="58">
        <v>0</v>
      </c>
      <c r="Q131" s="58">
        <v>0</v>
      </c>
      <c r="R131" s="58">
        <v>0</v>
      </c>
      <c r="S131" s="61">
        <f t="shared" si="14"/>
        <v>0</v>
      </c>
      <c r="T131" s="56"/>
      <c r="U131" s="63">
        <f t="shared" si="15"/>
        <v>0</v>
      </c>
      <c r="V131" s="56">
        <f t="shared" si="16"/>
        <v>0</v>
      </c>
      <c r="W131" s="64">
        <f t="shared" si="17"/>
        <v>0</v>
      </c>
      <c r="Z131" s="11">
        <f t="shared" si="18"/>
        <v>0</v>
      </c>
    </row>
    <row r="132" spans="1:26">
      <c r="A132" s="74" t="s">
        <v>231</v>
      </c>
      <c r="B132" s="75" t="str">
        <f>IF(ISNA(VLOOKUP($A132,'[1]Coding (Do not delete)'!$A$7:$K$656,3,FALSE))=TRUE,0,VLOOKUP($A132,'[1]Coding (Do not delete)'!$A$7:$K$656,8,FALSE))</f>
        <v>JE#  T082  SIT - Unamortized ITC (SIT 3)</v>
      </c>
      <c r="C132" s="65">
        <f>IF(ISNA(VLOOKUP($A132,'[1]Coding (Do not delete)'!$A$7:$K$656,5,FALSE))=TRUE,0,VLOOKUP($A132,'[1]Coding (Do not delete)'!$A$7:$K$656,5,FALSE))</f>
        <v>255105</v>
      </c>
      <c r="D132" s="65" t="s">
        <v>76</v>
      </c>
      <c r="E132" s="65" t="s">
        <v>72</v>
      </c>
      <c r="F132" s="79"/>
      <c r="G132" s="61">
        <v>0</v>
      </c>
      <c r="H132" s="56">
        <v>0</v>
      </c>
      <c r="I132" s="56"/>
      <c r="J132" s="58">
        <v>0</v>
      </c>
      <c r="K132" s="56">
        <v>0</v>
      </c>
      <c r="L132" s="56">
        <v>0</v>
      </c>
      <c r="M132" s="61">
        <f t="shared" si="13"/>
        <v>0</v>
      </c>
      <c r="N132" s="56">
        <f>IF(ISNA(VLOOKUP($B132,'[1]Current Provision - HYP'!$A$10:$BP$201,$E$5,FALSE))=TRUE,0,VLOOKUP($B132,'[1]Current Provision - HYP'!$A$10:$BP$201,$E$5,FALSE))</f>
        <v>0</v>
      </c>
      <c r="O132" s="56">
        <v>0</v>
      </c>
      <c r="P132" s="58">
        <v>0</v>
      </c>
      <c r="Q132" s="58">
        <v>0</v>
      </c>
      <c r="R132" s="58">
        <v>0</v>
      </c>
      <c r="S132" s="61">
        <f t="shared" si="14"/>
        <v>0</v>
      </c>
      <c r="T132" s="56"/>
      <c r="U132" s="63">
        <f t="shared" si="15"/>
        <v>0</v>
      </c>
      <c r="V132" s="56">
        <f t="shared" si="16"/>
        <v>0</v>
      </c>
      <c r="W132" s="64">
        <f t="shared" si="17"/>
        <v>0</v>
      </c>
      <c r="Z132" s="11">
        <f t="shared" si="18"/>
        <v>0</v>
      </c>
    </row>
    <row r="133" spans="1:26">
      <c r="A133" s="74" t="s">
        <v>232</v>
      </c>
      <c r="B133" s="75" t="str">
        <f>IF(ISNA(VLOOKUP($A133,'[1]Coding (Do not delete)'!$A$7:$K$656,3,FALSE))=TRUE,0,VLOOKUP($A133,'[1]Coding (Do not delete)'!$A$7:$K$656,8,FALSE))</f>
        <v>JE#  T083  Deferred SIT - Reg Asset/Liability (SIT 4)</v>
      </c>
      <c r="C133" s="65">
        <f>IF(ISNA(VLOOKUP($A133,'[1]Coding (Do not delete)'!$A$7:$K$656,5,FALSE))=TRUE,0,VLOOKUP($A133,'[1]Coding (Do not delete)'!$A$7:$K$656,5,FALSE))</f>
        <v>210240</v>
      </c>
      <c r="D133" s="65" t="s">
        <v>76</v>
      </c>
      <c r="E133" s="65" t="s">
        <v>72</v>
      </c>
      <c r="F133" s="79"/>
      <c r="G133" s="61">
        <v>0</v>
      </c>
      <c r="H133" s="56">
        <v>0</v>
      </c>
      <c r="I133" s="56"/>
      <c r="J133" s="58">
        <v>0</v>
      </c>
      <c r="K133" s="56">
        <v>0</v>
      </c>
      <c r="L133" s="56">
        <v>0</v>
      </c>
      <c r="M133" s="61">
        <f t="shared" si="13"/>
        <v>0</v>
      </c>
      <c r="N133" s="56">
        <f>IF(ISNA(VLOOKUP($B133,'[1]Current Provision - HYP'!$A$10:$BP$201,$E$5,FALSE))=TRUE,0,VLOOKUP($B133,'[1]Current Provision - HYP'!$A$10:$BP$201,$E$5,FALSE))</f>
        <v>0</v>
      </c>
      <c r="O133" s="56">
        <v>0</v>
      </c>
      <c r="P133" s="58">
        <v>0</v>
      </c>
      <c r="Q133" s="58">
        <v>0</v>
      </c>
      <c r="R133" s="58">
        <v>0</v>
      </c>
      <c r="S133" s="61">
        <f t="shared" si="14"/>
        <v>0</v>
      </c>
      <c r="T133" s="56"/>
      <c r="U133" s="63">
        <f t="shared" si="15"/>
        <v>0</v>
      </c>
      <c r="V133" s="56">
        <f t="shared" si="16"/>
        <v>0</v>
      </c>
      <c r="W133" s="64">
        <f t="shared" si="17"/>
        <v>0</v>
      </c>
      <c r="Z133" s="11">
        <f t="shared" si="18"/>
        <v>0</v>
      </c>
    </row>
    <row r="134" spans="1:26">
      <c r="A134" s="74" t="s">
        <v>233</v>
      </c>
      <c r="B134" s="75" t="s">
        <v>234</v>
      </c>
      <c r="C134" s="65">
        <v>210240</v>
      </c>
      <c r="D134" s="65" t="s">
        <v>76</v>
      </c>
      <c r="E134" s="65" t="s">
        <v>72</v>
      </c>
      <c r="F134" s="79"/>
      <c r="G134" s="61">
        <v>0</v>
      </c>
      <c r="H134" s="56">
        <v>0</v>
      </c>
      <c r="I134" s="56"/>
      <c r="J134" s="58">
        <v>0</v>
      </c>
      <c r="K134" s="56">
        <v>0</v>
      </c>
      <c r="L134" s="56">
        <v>0</v>
      </c>
      <c r="M134" s="61">
        <f t="shared" si="13"/>
        <v>0</v>
      </c>
      <c r="N134" s="56">
        <f>IF(ISNA(VLOOKUP($B134,'[1]Current Provision - HYP'!$A$10:$BP$201,$E$5,FALSE))=TRUE,0,VLOOKUP($B134,'[1]Current Provision - HYP'!$A$10:$BP$201,$E$5,FALSE))</f>
        <v>0</v>
      </c>
      <c r="O134" s="56">
        <v>0</v>
      </c>
      <c r="P134" s="58">
        <v>0</v>
      </c>
      <c r="Q134" s="58">
        <v>0</v>
      </c>
      <c r="R134" s="58">
        <v>0</v>
      </c>
      <c r="S134" s="61">
        <f t="shared" si="14"/>
        <v>0</v>
      </c>
      <c r="T134" s="56"/>
      <c r="U134" s="63">
        <f t="shared" si="15"/>
        <v>0</v>
      </c>
      <c r="V134" s="56">
        <f t="shared" si="16"/>
        <v>0</v>
      </c>
      <c r="W134" s="64">
        <f t="shared" si="17"/>
        <v>0</v>
      </c>
      <c r="Z134" s="11">
        <f t="shared" si="18"/>
        <v>0</v>
      </c>
    </row>
    <row r="135" spans="1:26">
      <c r="A135" s="74" t="s">
        <v>235</v>
      </c>
      <c r="B135" s="75" t="s">
        <v>236</v>
      </c>
      <c r="C135" s="65">
        <v>236150</v>
      </c>
      <c r="D135" s="65" t="s">
        <v>76</v>
      </c>
      <c r="E135" s="65" t="s">
        <v>237</v>
      </c>
      <c r="F135" s="79"/>
      <c r="G135" s="61">
        <v>0</v>
      </c>
      <c r="H135" s="56">
        <v>0</v>
      </c>
      <c r="I135" s="56"/>
      <c r="J135" s="58">
        <v>0</v>
      </c>
      <c r="K135" s="56">
        <v>0</v>
      </c>
      <c r="L135" s="56">
        <v>0</v>
      </c>
      <c r="M135" s="61">
        <f t="shared" si="13"/>
        <v>0</v>
      </c>
      <c r="N135" s="56">
        <f>IF(ISNA(VLOOKUP($B135,'[1]Current Provision - HYP'!$A$10:$BP$201,$E$5,FALSE))=TRUE,0,VLOOKUP($B135,'[1]Current Provision - HYP'!$A$10:$BP$201,$E$5,FALSE))</f>
        <v>0</v>
      </c>
      <c r="O135" s="56">
        <v>0</v>
      </c>
      <c r="P135" s="58">
        <v>0</v>
      </c>
      <c r="Q135" s="58">
        <v>0</v>
      </c>
      <c r="R135" s="58">
        <v>0</v>
      </c>
      <c r="S135" s="61">
        <f t="shared" si="14"/>
        <v>0</v>
      </c>
      <c r="T135" s="56"/>
      <c r="U135" s="63">
        <f t="shared" si="15"/>
        <v>0</v>
      </c>
      <c r="V135" s="56">
        <f t="shared" si="16"/>
        <v>0</v>
      </c>
      <c r="W135" s="64">
        <f t="shared" si="17"/>
        <v>0</v>
      </c>
      <c r="Z135" s="11">
        <f t="shared" si="18"/>
        <v>0</v>
      </c>
    </row>
    <row r="136" spans="1:26">
      <c r="A136" s="74" t="s">
        <v>238</v>
      </c>
      <c r="B136" s="75" t="s">
        <v>239</v>
      </c>
      <c r="C136" s="65">
        <v>252200</v>
      </c>
      <c r="D136" s="65" t="s">
        <v>76</v>
      </c>
      <c r="E136" s="65" t="s">
        <v>196</v>
      </c>
      <c r="F136" s="79"/>
      <c r="G136" s="61">
        <v>0</v>
      </c>
      <c r="H136" s="56">
        <v>0</v>
      </c>
      <c r="I136" s="56"/>
      <c r="J136" s="58">
        <v>0</v>
      </c>
      <c r="K136" s="56">
        <v>0</v>
      </c>
      <c r="L136" s="56">
        <v>0</v>
      </c>
      <c r="M136" s="61">
        <f t="shared" si="13"/>
        <v>0</v>
      </c>
      <c r="N136" s="56">
        <f>IF(ISNA(VLOOKUP($B136,'[1]Current Provision - HYP'!$A$10:$BP$201,$E$5,FALSE))=TRUE,0,VLOOKUP($B136,'[1]Current Provision - HYP'!$A$10:$BP$201,$E$5,FALSE))</f>
        <v>0</v>
      </c>
      <c r="O136" s="56">
        <v>0</v>
      </c>
      <c r="P136" s="58">
        <v>0</v>
      </c>
      <c r="Q136" s="58">
        <v>0</v>
      </c>
      <c r="R136" s="58">
        <v>0</v>
      </c>
      <c r="S136" s="61">
        <f t="shared" si="14"/>
        <v>0</v>
      </c>
      <c r="T136" s="56"/>
      <c r="U136" s="63">
        <f t="shared" si="15"/>
        <v>0</v>
      </c>
      <c r="V136" s="56">
        <f t="shared" si="16"/>
        <v>0</v>
      </c>
      <c r="W136" s="64">
        <f t="shared" si="17"/>
        <v>0</v>
      </c>
      <c r="Z136" s="11">
        <f t="shared" si="18"/>
        <v>0</v>
      </c>
    </row>
    <row r="137" spans="1:26">
      <c r="A137" s="74" t="s">
        <v>240</v>
      </c>
      <c r="B137" s="75" t="s">
        <v>241</v>
      </c>
      <c r="C137" s="65">
        <v>210240</v>
      </c>
      <c r="D137" s="65" t="s">
        <v>76</v>
      </c>
      <c r="E137" s="65" t="s">
        <v>72</v>
      </c>
      <c r="F137" s="79"/>
      <c r="G137" s="61">
        <v>0</v>
      </c>
      <c r="H137" s="56">
        <v>0</v>
      </c>
      <c r="I137" s="56"/>
      <c r="J137" s="58">
        <v>0</v>
      </c>
      <c r="K137" s="56">
        <v>0</v>
      </c>
      <c r="L137" s="56">
        <v>0</v>
      </c>
      <c r="M137" s="61">
        <f t="shared" si="13"/>
        <v>0</v>
      </c>
      <c r="N137" s="56">
        <f>IF(ISNA(VLOOKUP($B137,'[1]Current Provision - HYP'!$A$10:$BP$201,$E$5,FALSE))=TRUE,0,VLOOKUP($B137,'[1]Current Provision - HYP'!$A$10:$BP$201,$E$5,FALSE))</f>
        <v>0</v>
      </c>
      <c r="O137" s="56">
        <v>0</v>
      </c>
      <c r="P137" s="58">
        <v>0</v>
      </c>
      <c r="Q137" s="58">
        <v>0</v>
      </c>
      <c r="R137" s="58">
        <v>0</v>
      </c>
      <c r="S137" s="61">
        <f t="shared" si="14"/>
        <v>0</v>
      </c>
      <c r="T137" s="56"/>
      <c r="U137" s="63">
        <f t="shared" si="15"/>
        <v>0</v>
      </c>
      <c r="V137" s="56">
        <f t="shared" si="16"/>
        <v>0</v>
      </c>
      <c r="W137" s="64">
        <f t="shared" si="17"/>
        <v>0</v>
      </c>
      <c r="Z137" s="11">
        <f t="shared" si="18"/>
        <v>0</v>
      </c>
    </row>
    <row r="138" spans="1:26">
      <c r="A138" s="74" t="s">
        <v>242</v>
      </c>
      <c r="B138" s="75" t="s">
        <v>243</v>
      </c>
      <c r="C138" s="65">
        <v>210240</v>
      </c>
      <c r="D138" s="65" t="s">
        <v>76</v>
      </c>
      <c r="E138" s="65" t="s">
        <v>72</v>
      </c>
      <c r="F138" s="79"/>
      <c r="G138" s="61">
        <v>0</v>
      </c>
      <c r="H138" s="56">
        <v>0</v>
      </c>
      <c r="I138" s="56"/>
      <c r="J138" s="58">
        <v>0</v>
      </c>
      <c r="K138" s="56">
        <v>0</v>
      </c>
      <c r="L138" s="56">
        <v>0</v>
      </c>
      <c r="M138" s="61">
        <f t="shared" si="13"/>
        <v>0</v>
      </c>
      <c r="N138" s="56">
        <f>IF(ISNA(VLOOKUP($B138,'[1]Current Provision - HYP'!$A$10:$BP$201,$E$5,FALSE))=TRUE,0,VLOOKUP($B138,'[1]Current Provision - HYP'!$A$10:$BP$201,$E$5,FALSE))</f>
        <v>0</v>
      </c>
      <c r="O138" s="56">
        <v>0</v>
      </c>
      <c r="P138" s="58">
        <v>0</v>
      </c>
      <c r="Q138" s="58">
        <v>0</v>
      </c>
      <c r="R138" s="58">
        <v>0</v>
      </c>
      <c r="S138" s="61">
        <f t="shared" si="14"/>
        <v>0</v>
      </c>
      <c r="T138" s="56"/>
      <c r="U138" s="63">
        <f t="shared" si="15"/>
        <v>0</v>
      </c>
      <c r="V138" s="56">
        <f t="shared" si="16"/>
        <v>0</v>
      </c>
      <c r="W138" s="64">
        <f t="shared" si="17"/>
        <v>0</v>
      </c>
      <c r="Z138" s="11">
        <f t="shared" si="18"/>
        <v>0</v>
      </c>
    </row>
    <row r="139" spans="1:26">
      <c r="A139" s="74" t="s">
        <v>244</v>
      </c>
      <c r="B139" s="75" t="s">
        <v>245</v>
      </c>
      <c r="C139" s="65">
        <v>210240</v>
      </c>
      <c r="D139" s="65" t="s">
        <v>76</v>
      </c>
      <c r="E139" s="65" t="s">
        <v>95</v>
      </c>
      <c r="F139" s="79"/>
      <c r="G139" s="61">
        <v>0</v>
      </c>
      <c r="H139" s="56">
        <v>0</v>
      </c>
      <c r="I139" s="56"/>
      <c r="J139" s="58">
        <v>0</v>
      </c>
      <c r="K139" s="56">
        <v>0</v>
      </c>
      <c r="L139" s="56">
        <v>0</v>
      </c>
      <c r="M139" s="61">
        <f t="shared" si="13"/>
        <v>0</v>
      </c>
      <c r="N139" s="56">
        <f>IF(ISNA(VLOOKUP($B139,'[1]Current Provision - HYP'!$A$10:$BP$201,$E$5,FALSE))=TRUE,0,VLOOKUP($B139,'[1]Current Provision - HYP'!$A$10:$BP$201,$E$5,FALSE))</f>
        <v>0</v>
      </c>
      <c r="O139" s="56">
        <v>0</v>
      </c>
      <c r="P139" s="58">
        <v>0</v>
      </c>
      <c r="Q139" s="58">
        <v>0</v>
      </c>
      <c r="R139" s="58">
        <v>0</v>
      </c>
      <c r="S139" s="61">
        <f t="shared" si="14"/>
        <v>0</v>
      </c>
      <c r="T139" s="56"/>
      <c r="U139" s="63">
        <f t="shared" si="15"/>
        <v>0</v>
      </c>
      <c r="V139" s="56">
        <f t="shared" si="16"/>
        <v>0</v>
      </c>
      <c r="W139" s="64">
        <f t="shared" si="17"/>
        <v>0</v>
      </c>
      <c r="Z139" s="11">
        <f t="shared" si="18"/>
        <v>0</v>
      </c>
    </row>
    <row r="140" spans="1:26">
      <c r="A140" s="74" t="s">
        <v>246</v>
      </c>
      <c r="B140" s="75" t="s">
        <v>247</v>
      </c>
      <c r="C140" s="65"/>
      <c r="D140" s="65" t="s">
        <v>93</v>
      </c>
      <c r="E140" s="65" t="s">
        <v>118</v>
      </c>
      <c r="F140" s="79"/>
      <c r="G140" s="61">
        <v>1224649</v>
      </c>
      <c r="H140" s="56">
        <v>0</v>
      </c>
      <c r="I140" s="56"/>
      <c r="J140" s="58">
        <v>0</v>
      </c>
      <c r="K140" s="56">
        <v>0</v>
      </c>
      <c r="L140" s="56">
        <v>0</v>
      </c>
      <c r="M140" s="61">
        <f t="shared" si="13"/>
        <v>1224649</v>
      </c>
      <c r="N140" s="56">
        <f>IF(ISNA(VLOOKUP($B140,'[1]Current Provision - HYP'!$A$10:$BP$201,$E$5,FALSE))=TRUE,0,VLOOKUP($B140,'[1]Current Provision - HYP'!$A$10:$BP$201,$E$5,FALSE))</f>
        <v>0</v>
      </c>
      <c r="O140" s="56">
        <v>0</v>
      </c>
      <c r="P140" s="58">
        <v>0</v>
      </c>
      <c r="Q140" s="58">
        <v>0</v>
      </c>
      <c r="R140" s="58">
        <v>0</v>
      </c>
      <c r="S140" s="61">
        <f t="shared" si="14"/>
        <v>1224649</v>
      </c>
      <c r="T140" s="56"/>
      <c r="U140" s="63">
        <f t="shared" si="15"/>
        <v>476388.46099999995</v>
      </c>
      <c r="V140" s="56">
        <f t="shared" si="16"/>
        <v>0</v>
      </c>
      <c r="W140" s="64">
        <f t="shared" si="17"/>
        <v>476388.46099999995</v>
      </c>
      <c r="Z140" s="11">
        <f t="shared" si="18"/>
        <v>0</v>
      </c>
    </row>
    <row r="141" spans="1:26">
      <c r="A141" s="74" t="s">
        <v>248</v>
      </c>
      <c r="B141" s="75" t="s">
        <v>249</v>
      </c>
      <c r="C141" s="65">
        <v>255105</v>
      </c>
      <c r="D141" s="65" t="s">
        <v>76</v>
      </c>
      <c r="E141" s="65" t="s">
        <v>95</v>
      </c>
      <c r="F141" s="79"/>
      <c r="G141" s="61">
        <v>0</v>
      </c>
      <c r="H141" s="56">
        <v>0</v>
      </c>
      <c r="I141" s="56"/>
      <c r="J141" s="58">
        <v>0</v>
      </c>
      <c r="K141" s="56">
        <v>0</v>
      </c>
      <c r="L141" s="56">
        <v>0</v>
      </c>
      <c r="M141" s="61">
        <f t="shared" si="13"/>
        <v>0</v>
      </c>
      <c r="N141" s="56">
        <f>IF(ISNA(VLOOKUP($B141,'[1]Current Provision - HYP'!$A$10:$BP$201,$E$5,FALSE))=TRUE,0,VLOOKUP($B141,'[1]Current Provision - HYP'!$A$10:$BP$201,$E$5,FALSE))</f>
        <v>0</v>
      </c>
      <c r="O141" s="56">
        <v>0</v>
      </c>
      <c r="P141" s="58">
        <v>0</v>
      </c>
      <c r="Q141" s="58">
        <v>0</v>
      </c>
      <c r="R141" s="58">
        <v>0</v>
      </c>
      <c r="S141" s="61">
        <f t="shared" si="14"/>
        <v>0</v>
      </c>
      <c r="T141" s="56"/>
      <c r="U141" s="63">
        <f t="shared" si="15"/>
        <v>0</v>
      </c>
      <c r="V141" s="56">
        <f t="shared" si="16"/>
        <v>0</v>
      </c>
      <c r="W141" s="64">
        <f t="shared" si="17"/>
        <v>0</v>
      </c>
      <c r="Z141" s="11">
        <f t="shared" si="18"/>
        <v>0</v>
      </c>
    </row>
    <row r="142" spans="1:26">
      <c r="A142" s="74" t="s">
        <v>250</v>
      </c>
      <c r="B142" s="75" t="s">
        <v>769</v>
      </c>
      <c r="C142" s="65">
        <v>236320</v>
      </c>
      <c r="D142" s="65" t="s">
        <v>76</v>
      </c>
      <c r="E142" s="65" t="s">
        <v>137</v>
      </c>
      <c r="F142" s="79"/>
      <c r="G142" s="61">
        <v>0</v>
      </c>
      <c r="H142" s="56">
        <v>0</v>
      </c>
      <c r="I142" s="56"/>
      <c r="J142" s="58">
        <v>0</v>
      </c>
      <c r="K142" s="56">
        <v>0</v>
      </c>
      <c r="L142" s="56">
        <v>0</v>
      </c>
      <c r="M142" s="61">
        <f t="shared" si="13"/>
        <v>0</v>
      </c>
      <c r="N142" s="56">
        <f>IF(ISNA(VLOOKUP($B142,'[1]Current Provision - HYP'!$A$10:$BP$201,$E$5,FALSE))=TRUE,0,VLOOKUP($B142,'[1]Current Provision - HYP'!$A$10:$BP$201,$E$5,FALSE))</f>
        <v>0</v>
      </c>
      <c r="O142" s="56">
        <v>0</v>
      </c>
      <c r="P142" s="58">
        <v>0</v>
      </c>
      <c r="Q142" s="58">
        <v>0</v>
      </c>
      <c r="R142" s="58">
        <v>0</v>
      </c>
      <c r="S142" s="61">
        <f t="shared" si="14"/>
        <v>0</v>
      </c>
      <c r="T142" s="56"/>
      <c r="U142" s="63">
        <f t="shared" si="15"/>
        <v>0</v>
      </c>
      <c r="V142" s="56">
        <f t="shared" si="16"/>
        <v>0</v>
      </c>
      <c r="W142" s="64">
        <f t="shared" si="17"/>
        <v>0</v>
      </c>
      <c r="Z142" s="11">
        <f t="shared" si="18"/>
        <v>0</v>
      </c>
    </row>
    <row r="143" spans="1:26">
      <c r="A143" s="74" t="s">
        <v>252</v>
      </c>
      <c r="B143" s="75" t="s">
        <v>253</v>
      </c>
      <c r="C143" s="65">
        <v>253220</v>
      </c>
      <c r="D143" s="65" t="s">
        <v>76</v>
      </c>
      <c r="E143" s="65" t="s">
        <v>95</v>
      </c>
      <c r="F143" s="79"/>
      <c r="G143" s="61">
        <v>0</v>
      </c>
      <c r="H143" s="56">
        <v>0</v>
      </c>
      <c r="I143" s="56"/>
      <c r="J143" s="58">
        <v>0</v>
      </c>
      <c r="K143" s="56">
        <v>0</v>
      </c>
      <c r="L143" s="56">
        <v>0</v>
      </c>
      <c r="M143" s="61">
        <f t="shared" si="13"/>
        <v>0</v>
      </c>
      <c r="N143" s="56">
        <f>IF(ISNA(VLOOKUP($B143,'[1]Current Provision - HYP'!$A$10:$BP$201,$E$5,FALSE))=TRUE,0,VLOOKUP($B143,'[1]Current Provision - HYP'!$A$10:$BP$201,$E$5,FALSE))</f>
        <v>0</v>
      </c>
      <c r="O143" s="56">
        <v>0</v>
      </c>
      <c r="P143" s="58">
        <v>0</v>
      </c>
      <c r="Q143" s="58">
        <v>0</v>
      </c>
      <c r="R143" s="58">
        <v>0</v>
      </c>
      <c r="S143" s="61">
        <f t="shared" si="14"/>
        <v>0</v>
      </c>
      <c r="T143" s="56"/>
      <c r="U143" s="63">
        <f t="shared" si="15"/>
        <v>0</v>
      </c>
      <c r="V143" s="56">
        <f t="shared" si="16"/>
        <v>0</v>
      </c>
      <c r="W143" s="64">
        <f t="shared" si="17"/>
        <v>0</v>
      </c>
      <c r="Z143" s="11">
        <f t="shared" si="18"/>
        <v>0</v>
      </c>
    </row>
    <row r="144" spans="1:26">
      <c r="A144" s="57" t="s">
        <v>254</v>
      </c>
      <c r="B144" s="59" t="str">
        <f>IF(ISNA(VLOOKUP($A144,'[1]Coding (Do not delete)'!$A$7:$K$656,3,FALSE))=TRUE,0,VLOOKUP($A144,'[1]Coding (Do not delete)'!$A$7:$K$656,8,FALSE))</f>
        <v>Medicare Subsidy offset (T225 in P/Y)</v>
      </c>
      <c r="C144" s="54">
        <v>262210</v>
      </c>
      <c r="D144" s="54" t="s">
        <v>76</v>
      </c>
      <c r="E144" s="54" t="s">
        <v>173</v>
      </c>
      <c r="F144" s="79"/>
      <c r="G144" s="61">
        <v>0</v>
      </c>
      <c r="H144" s="56">
        <v>0</v>
      </c>
      <c r="I144" s="56"/>
      <c r="J144" s="58">
        <v>0</v>
      </c>
      <c r="K144" s="56">
        <v>0</v>
      </c>
      <c r="L144" s="56">
        <v>0</v>
      </c>
      <c r="M144" s="61">
        <f t="shared" si="13"/>
        <v>0</v>
      </c>
      <c r="N144" s="56">
        <f>IF(ISNA(VLOOKUP($B144,'[1]Current Provision - HYP'!$A$10:$BP$201,$E$5,FALSE))=TRUE,0,VLOOKUP($B144,'[1]Current Provision - HYP'!$A$10:$BP$201,$E$5,FALSE))</f>
        <v>0</v>
      </c>
      <c r="O144" s="56">
        <v>0</v>
      </c>
      <c r="P144" s="58">
        <v>0</v>
      </c>
      <c r="Q144" s="58">
        <v>0</v>
      </c>
      <c r="R144" s="58">
        <v>0</v>
      </c>
      <c r="S144" s="61">
        <f t="shared" si="14"/>
        <v>0</v>
      </c>
      <c r="T144" s="56"/>
      <c r="U144" s="63">
        <f t="shared" si="15"/>
        <v>0</v>
      </c>
      <c r="V144" s="56">
        <f t="shared" si="16"/>
        <v>0</v>
      </c>
      <c r="W144" s="64">
        <f t="shared" si="17"/>
        <v>0</v>
      </c>
      <c r="X144" s="58"/>
      <c r="Z144" s="11">
        <f t="shared" si="18"/>
        <v>0</v>
      </c>
    </row>
    <row r="145" spans="1:26">
      <c r="A145" s="57" t="s">
        <v>86</v>
      </c>
      <c r="B145" s="59" t="s">
        <v>255</v>
      </c>
      <c r="C145" s="59"/>
      <c r="D145" s="18" t="s">
        <v>68</v>
      </c>
      <c r="E145" s="54" t="s">
        <v>196</v>
      </c>
      <c r="F145" s="79"/>
      <c r="G145" s="61">
        <v>1226519</v>
      </c>
      <c r="H145" s="56">
        <v>0</v>
      </c>
      <c r="I145" s="56"/>
      <c r="J145" s="58">
        <v>0</v>
      </c>
      <c r="K145" s="56">
        <v>0</v>
      </c>
      <c r="L145" s="56">
        <v>0</v>
      </c>
      <c r="M145" s="61">
        <f t="shared" si="13"/>
        <v>1226519</v>
      </c>
      <c r="N145" s="56">
        <f>IF(ISNA(VLOOKUP($B145,'[1]Current Provision - HYP'!$A$10:$BP$201,$E$5,FALSE))=TRUE,0,VLOOKUP($B145,'[1]Current Provision - HYP'!$A$10:$BP$201,$E$5,FALSE))</f>
        <v>0</v>
      </c>
      <c r="O145" s="56">
        <v>0</v>
      </c>
      <c r="P145" s="58">
        <v>0</v>
      </c>
      <c r="Q145" s="58">
        <v>0</v>
      </c>
      <c r="R145" s="58">
        <v>0</v>
      </c>
      <c r="S145" s="61">
        <f t="shared" si="14"/>
        <v>1226519</v>
      </c>
      <c r="T145" s="56"/>
      <c r="U145" s="63">
        <f t="shared" si="15"/>
        <v>477115.89099999995</v>
      </c>
      <c r="V145" s="56">
        <f t="shared" si="16"/>
        <v>0</v>
      </c>
      <c r="W145" s="64">
        <f t="shared" si="17"/>
        <v>477115.89099999995</v>
      </c>
      <c r="X145" s="58"/>
      <c r="Z145" s="11">
        <f t="shared" si="18"/>
        <v>0</v>
      </c>
    </row>
    <row r="146" spans="1:26">
      <c r="A146" s="57" t="s">
        <v>86</v>
      </c>
      <c r="B146" s="59" t="s">
        <v>256</v>
      </c>
      <c r="C146" s="59">
        <v>0</v>
      </c>
      <c r="D146" s="18" t="s">
        <v>76</v>
      </c>
      <c r="E146" s="54" t="s">
        <v>257</v>
      </c>
      <c r="F146" s="79"/>
      <c r="G146" s="61">
        <v>0</v>
      </c>
      <c r="H146" s="56">
        <v>0</v>
      </c>
      <c r="I146" s="56"/>
      <c r="J146" s="58">
        <v>0</v>
      </c>
      <c r="K146" s="56">
        <v>0</v>
      </c>
      <c r="L146" s="56">
        <v>0</v>
      </c>
      <c r="M146" s="61">
        <f t="shared" si="13"/>
        <v>0</v>
      </c>
      <c r="N146" s="56">
        <f>IF(ISNA(VLOOKUP($B146,'[1]Current Provision - HYP'!$A$10:$BP$201,$E$5,FALSE))=TRUE,0,VLOOKUP($B146,'[1]Current Provision - HYP'!$A$10:$BP$201,$E$5,FALSE))</f>
        <v>0</v>
      </c>
      <c r="O146" s="56">
        <v>0</v>
      </c>
      <c r="P146" s="58">
        <v>0</v>
      </c>
      <c r="Q146" s="58">
        <v>0</v>
      </c>
      <c r="R146" s="58">
        <v>0</v>
      </c>
      <c r="S146" s="61">
        <f t="shared" si="14"/>
        <v>0</v>
      </c>
      <c r="T146" s="56"/>
      <c r="U146" s="63">
        <f t="shared" si="15"/>
        <v>0</v>
      </c>
      <c r="V146" s="56">
        <f t="shared" si="16"/>
        <v>0</v>
      </c>
      <c r="W146" s="64">
        <f t="shared" si="17"/>
        <v>0</v>
      </c>
      <c r="X146" s="58"/>
      <c r="Z146" s="11">
        <f t="shared" si="18"/>
        <v>0</v>
      </c>
    </row>
    <row r="147" spans="1:26">
      <c r="A147" s="57" t="s">
        <v>86</v>
      </c>
      <c r="B147" s="59" t="s">
        <v>258</v>
      </c>
      <c r="C147" s="59"/>
      <c r="D147" s="18" t="s">
        <v>68</v>
      </c>
      <c r="E147" s="54" t="s">
        <v>72</v>
      </c>
      <c r="F147" s="79"/>
      <c r="G147" s="61">
        <v>0</v>
      </c>
      <c r="H147" s="56">
        <v>0</v>
      </c>
      <c r="I147" s="56"/>
      <c r="J147" s="58">
        <v>0</v>
      </c>
      <c r="K147" s="56">
        <v>0</v>
      </c>
      <c r="L147" s="56">
        <v>0</v>
      </c>
      <c r="M147" s="61">
        <f t="shared" si="13"/>
        <v>0</v>
      </c>
      <c r="N147" s="56">
        <f>IF(ISNA(VLOOKUP($B147,'[1]Current Provision - HYP'!$A$10:$BP$201,$E$5,FALSE))=TRUE,0,VLOOKUP($B147,'[1]Current Provision - HYP'!$A$10:$BP$201,$E$5,FALSE))</f>
        <v>0</v>
      </c>
      <c r="O147" s="56">
        <v>0</v>
      </c>
      <c r="P147" s="58">
        <v>0</v>
      </c>
      <c r="Q147" s="58">
        <v>0</v>
      </c>
      <c r="R147" s="58">
        <v>0</v>
      </c>
      <c r="S147" s="61">
        <f t="shared" si="14"/>
        <v>0</v>
      </c>
      <c r="T147" s="56"/>
      <c r="U147" s="63">
        <f t="shared" si="15"/>
        <v>0</v>
      </c>
      <c r="V147" s="56">
        <f t="shared" si="16"/>
        <v>0</v>
      </c>
      <c r="W147" s="64">
        <f t="shared" si="17"/>
        <v>0</v>
      </c>
      <c r="X147" s="58"/>
      <c r="Z147" s="11">
        <f t="shared" si="18"/>
        <v>0</v>
      </c>
    </row>
    <row r="148" spans="1:26">
      <c r="A148" s="57" t="s">
        <v>86</v>
      </c>
      <c r="B148" s="75" t="s">
        <v>259</v>
      </c>
      <c r="C148" s="59"/>
      <c r="D148" s="18" t="s">
        <v>68</v>
      </c>
      <c r="E148" s="54" t="s">
        <v>90</v>
      </c>
      <c r="F148" s="79"/>
      <c r="G148" s="61">
        <v>-2395385.64</v>
      </c>
      <c r="H148" s="56">
        <v>0</v>
      </c>
      <c r="I148" s="56"/>
      <c r="J148" s="58">
        <v>0</v>
      </c>
      <c r="K148" s="56">
        <v>0</v>
      </c>
      <c r="L148" s="56">
        <v>0</v>
      </c>
      <c r="M148" s="61">
        <f t="shared" si="13"/>
        <v>-2395385.64</v>
      </c>
      <c r="N148" s="56">
        <f>IF(ISNA(VLOOKUP($B148,'[1]Current Provision - HYP'!$A$10:$BP$201,$E$5,FALSE))=TRUE,0,VLOOKUP($B148,'[1]Current Provision - HYP'!$A$10:$BP$201,$E$5,FALSE))</f>
        <v>0</v>
      </c>
      <c r="O148" s="56">
        <v>0</v>
      </c>
      <c r="P148" s="58">
        <v>0</v>
      </c>
      <c r="Q148" s="58">
        <v>0</v>
      </c>
      <c r="R148" s="58">
        <v>0</v>
      </c>
      <c r="S148" s="61">
        <f t="shared" si="14"/>
        <v>-2395385.64</v>
      </c>
      <c r="T148" s="56"/>
      <c r="U148" s="63">
        <f t="shared" si="15"/>
        <v>0</v>
      </c>
      <c r="V148" s="56">
        <f t="shared" si="16"/>
        <v>931805.01395999989</v>
      </c>
      <c r="W148" s="64">
        <f t="shared" si="17"/>
        <v>-931805.01395999989</v>
      </c>
      <c r="X148" s="58"/>
      <c r="Z148" s="11">
        <f t="shared" si="18"/>
        <v>0</v>
      </c>
    </row>
    <row r="149" spans="1:26">
      <c r="A149" s="57" t="s">
        <v>133</v>
      </c>
      <c r="B149" s="75" t="s">
        <v>260</v>
      </c>
      <c r="D149" s="18" t="s">
        <v>93</v>
      </c>
      <c r="E149" s="88" t="s">
        <v>113</v>
      </c>
      <c r="F149" s="79"/>
      <c r="G149" s="61">
        <v>0</v>
      </c>
      <c r="H149" s="56">
        <v>0</v>
      </c>
      <c r="I149" s="56"/>
      <c r="J149" s="58">
        <v>0</v>
      </c>
      <c r="K149" s="56">
        <v>0</v>
      </c>
      <c r="L149" s="56">
        <v>0</v>
      </c>
      <c r="M149" s="61">
        <f t="shared" si="13"/>
        <v>0</v>
      </c>
      <c r="N149" s="56">
        <f>IF(ISNA(VLOOKUP($B149,'[1]Current Provision - HYP'!$A$10:$BP$201,$E$5,FALSE))=TRUE,0,VLOOKUP($B149,'[1]Current Provision - HYP'!$A$10:$BP$201,$E$5,FALSE))</f>
        <v>0</v>
      </c>
      <c r="O149" s="56">
        <v>0</v>
      </c>
      <c r="P149" s="58">
        <v>0</v>
      </c>
      <c r="Q149" s="58">
        <v>0</v>
      </c>
      <c r="R149" s="58">
        <v>0</v>
      </c>
      <c r="S149" s="61">
        <f t="shared" si="14"/>
        <v>0</v>
      </c>
      <c r="T149" s="56"/>
      <c r="U149" s="63">
        <f t="shared" si="15"/>
        <v>0</v>
      </c>
      <c r="V149" s="56">
        <f t="shared" si="16"/>
        <v>0</v>
      </c>
      <c r="W149" s="64">
        <f t="shared" si="17"/>
        <v>0</v>
      </c>
      <c r="X149" s="58"/>
      <c r="Z149" s="11">
        <f t="shared" si="18"/>
        <v>0</v>
      </c>
    </row>
    <row r="150" spans="1:26">
      <c r="A150" s="57" t="s">
        <v>122</v>
      </c>
      <c r="B150" s="75" t="s">
        <v>261</v>
      </c>
      <c r="D150" s="18" t="s">
        <v>93</v>
      </c>
      <c r="E150" s="88" t="s">
        <v>118</v>
      </c>
      <c r="F150" s="79"/>
      <c r="G150" s="61">
        <v>1220821</v>
      </c>
      <c r="H150" s="56">
        <v>0</v>
      </c>
      <c r="I150" s="56"/>
      <c r="J150" s="58">
        <v>0</v>
      </c>
      <c r="K150" s="56">
        <v>0</v>
      </c>
      <c r="L150" s="56">
        <v>0</v>
      </c>
      <c r="M150" s="61">
        <f t="shared" si="13"/>
        <v>1220821</v>
      </c>
      <c r="N150" s="56">
        <f>IF(ISNA(VLOOKUP($B150,'[1]Current Provision - HYP'!$A$10:$BP$201,$E$5,FALSE))=TRUE,0,VLOOKUP($B150,'[1]Current Provision - HYP'!$A$10:$BP$201,$E$5,FALSE))</f>
        <v>0</v>
      </c>
      <c r="O150" s="56">
        <v>0</v>
      </c>
      <c r="P150" s="58">
        <v>0</v>
      </c>
      <c r="Q150" s="58">
        <v>0</v>
      </c>
      <c r="R150" s="58">
        <v>0</v>
      </c>
      <c r="S150" s="61">
        <f t="shared" si="14"/>
        <v>1220821</v>
      </c>
      <c r="T150" s="56"/>
      <c r="U150" s="63">
        <f t="shared" si="15"/>
        <v>474899.36899999995</v>
      </c>
      <c r="V150" s="56">
        <f t="shared" si="16"/>
        <v>0</v>
      </c>
      <c r="W150" s="64">
        <f t="shared" si="17"/>
        <v>474899.36899999995</v>
      </c>
      <c r="X150" s="58"/>
      <c r="Z150" s="11">
        <f t="shared" si="18"/>
        <v>0</v>
      </c>
    </row>
    <row r="151" spans="1:26">
      <c r="A151" s="57" t="s">
        <v>86</v>
      </c>
      <c r="B151" s="75" t="s">
        <v>262</v>
      </c>
      <c r="D151" s="18"/>
      <c r="E151" s="88" t="s">
        <v>137</v>
      </c>
      <c r="F151" s="79"/>
      <c r="G151" s="61">
        <v>0</v>
      </c>
      <c r="H151" s="56">
        <v>0</v>
      </c>
      <c r="I151" s="56"/>
      <c r="J151" s="58">
        <v>0</v>
      </c>
      <c r="K151" s="56">
        <v>0</v>
      </c>
      <c r="L151" s="56">
        <v>0</v>
      </c>
      <c r="M151" s="61">
        <f t="shared" si="13"/>
        <v>0</v>
      </c>
      <c r="N151" s="56">
        <f>IF(ISNA(VLOOKUP($B151,'[1]Current Provision - HYP'!$A$10:$BP$201,$E$5,FALSE))=TRUE,0,VLOOKUP($B151,'[1]Current Provision - HYP'!$A$10:$BP$201,$E$5,FALSE))</f>
        <v>0</v>
      </c>
      <c r="O151" s="56">
        <v>0</v>
      </c>
      <c r="P151" s="58">
        <v>0</v>
      </c>
      <c r="Q151" s="58">
        <v>0</v>
      </c>
      <c r="R151" s="58">
        <v>0</v>
      </c>
      <c r="S151" s="61">
        <f t="shared" si="14"/>
        <v>0</v>
      </c>
      <c r="T151" s="56"/>
      <c r="U151" s="63">
        <f t="shared" si="15"/>
        <v>0</v>
      </c>
      <c r="V151" s="56">
        <f t="shared" si="16"/>
        <v>0</v>
      </c>
      <c r="W151" s="64">
        <f t="shared" si="17"/>
        <v>0</v>
      </c>
      <c r="X151" s="58"/>
      <c r="Z151" s="11">
        <f t="shared" si="18"/>
        <v>0</v>
      </c>
    </row>
    <row r="152" spans="1:26">
      <c r="A152" s="57" t="s">
        <v>86</v>
      </c>
      <c r="B152" s="75" t="s">
        <v>263</v>
      </c>
      <c r="D152" s="18"/>
      <c r="E152" s="88" t="s">
        <v>137</v>
      </c>
      <c r="F152" s="79"/>
      <c r="G152" s="61">
        <v>0</v>
      </c>
      <c r="H152" s="56">
        <v>0</v>
      </c>
      <c r="I152" s="56"/>
      <c r="J152" s="58">
        <v>0</v>
      </c>
      <c r="K152" s="56">
        <v>0</v>
      </c>
      <c r="L152" s="56">
        <v>0</v>
      </c>
      <c r="M152" s="61">
        <f t="shared" si="13"/>
        <v>0</v>
      </c>
      <c r="N152" s="56">
        <f>IF(ISNA(VLOOKUP($B152,'[1]Current Provision - HYP'!$A$10:$BP$201,$E$5,FALSE))=TRUE,0,VLOOKUP($B152,'[1]Current Provision - HYP'!$A$10:$BP$201,$E$5,FALSE))</f>
        <v>0</v>
      </c>
      <c r="O152" s="56">
        <v>0</v>
      </c>
      <c r="P152" s="58">
        <v>0</v>
      </c>
      <c r="Q152" s="58">
        <v>0</v>
      </c>
      <c r="R152" s="58">
        <v>0</v>
      </c>
      <c r="S152" s="61">
        <f t="shared" si="14"/>
        <v>0</v>
      </c>
      <c r="T152" s="56"/>
      <c r="U152" s="63">
        <f t="shared" si="15"/>
        <v>0</v>
      </c>
      <c r="V152" s="56">
        <f t="shared" si="16"/>
        <v>0</v>
      </c>
      <c r="W152" s="64">
        <f t="shared" si="17"/>
        <v>0</v>
      </c>
      <c r="X152" s="58"/>
      <c r="Z152" s="11">
        <f t="shared" si="18"/>
        <v>0</v>
      </c>
    </row>
    <row r="153" spans="1:26">
      <c r="A153" s="57" t="s">
        <v>86</v>
      </c>
      <c r="B153" s="75" t="s">
        <v>264</v>
      </c>
      <c r="D153" s="18"/>
      <c r="E153" s="88" t="s">
        <v>137</v>
      </c>
      <c r="F153" s="79"/>
      <c r="G153" s="61">
        <v>0</v>
      </c>
      <c r="H153" s="56">
        <v>0</v>
      </c>
      <c r="I153" s="56"/>
      <c r="J153" s="58">
        <v>0</v>
      </c>
      <c r="K153" s="56">
        <v>0</v>
      </c>
      <c r="L153" s="56">
        <v>0</v>
      </c>
      <c r="M153" s="61">
        <f t="shared" si="13"/>
        <v>0</v>
      </c>
      <c r="N153" s="56">
        <f>IF(ISNA(VLOOKUP($B153,'[1]Current Provision - HYP'!$A$10:$BP$201,$E$5,FALSE))=TRUE,0,VLOOKUP($B153,'[1]Current Provision - HYP'!$A$10:$BP$201,$E$5,FALSE))</f>
        <v>0</v>
      </c>
      <c r="O153" s="56">
        <v>0</v>
      </c>
      <c r="P153" s="58">
        <v>0</v>
      </c>
      <c r="Q153" s="58">
        <v>0</v>
      </c>
      <c r="R153" s="58">
        <v>0</v>
      </c>
      <c r="S153" s="61">
        <f t="shared" si="14"/>
        <v>0</v>
      </c>
      <c r="T153" s="56"/>
      <c r="U153" s="63">
        <f t="shared" si="15"/>
        <v>0</v>
      </c>
      <c r="V153" s="56">
        <f t="shared" si="16"/>
        <v>0</v>
      </c>
      <c r="W153" s="64">
        <f t="shared" si="17"/>
        <v>0</v>
      </c>
      <c r="X153" s="58"/>
      <c r="Z153" s="11">
        <f t="shared" si="18"/>
        <v>0</v>
      </c>
    </row>
    <row r="154" spans="1:26">
      <c r="A154" s="57" t="s">
        <v>86</v>
      </c>
      <c r="B154" s="75" t="s">
        <v>89</v>
      </c>
      <c r="D154" s="18"/>
      <c r="E154" s="88" t="s">
        <v>95</v>
      </c>
      <c r="F154" s="79"/>
      <c r="G154" s="61">
        <v>0</v>
      </c>
      <c r="H154" s="56">
        <v>0</v>
      </c>
      <c r="I154" s="56"/>
      <c r="J154" s="58">
        <v>0</v>
      </c>
      <c r="K154" s="56">
        <v>0</v>
      </c>
      <c r="L154" s="56">
        <v>0</v>
      </c>
      <c r="M154" s="61">
        <f t="shared" si="13"/>
        <v>0</v>
      </c>
      <c r="N154" s="56">
        <f>IF(ISNA(VLOOKUP($B154,'[1]Current Provision - HYP'!$A$10:$BP$201,$E$5,FALSE))=TRUE,0,VLOOKUP($B154,'[1]Current Provision - HYP'!$A$10:$BP$201,$E$5,FALSE))</f>
        <v>0</v>
      </c>
      <c r="O154" s="56">
        <v>0</v>
      </c>
      <c r="P154" s="58">
        <v>0</v>
      </c>
      <c r="Q154" s="58">
        <v>0</v>
      </c>
      <c r="R154" s="58">
        <v>0</v>
      </c>
      <c r="S154" s="61">
        <f t="shared" si="14"/>
        <v>0</v>
      </c>
      <c r="T154" s="56"/>
      <c r="U154" s="63">
        <f t="shared" si="15"/>
        <v>0</v>
      </c>
      <c r="V154" s="56">
        <f t="shared" si="16"/>
        <v>0</v>
      </c>
      <c r="W154" s="64">
        <f t="shared" si="17"/>
        <v>0</v>
      </c>
      <c r="X154" s="58"/>
      <c r="Z154" s="11">
        <f t="shared" si="18"/>
        <v>0</v>
      </c>
    </row>
    <row r="155" spans="1:26">
      <c r="A155" s="57" t="s">
        <v>86</v>
      </c>
      <c r="B155" s="59" t="s">
        <v>265</v>
      </c>
      <c r="C155" s="59"/>
      <c r="D155" s="18" t="s">
        <v>68</v>
      </c>
      <c r="E155" s="88" t="s">
        <v>95</v>
      </c>
      <c r="F155" s="79"/>
      <c r="G155" s="61">
        <v>0</v>
      </c>
      <c r="H155" s="56">
        <v>0</v>
      </c>
      <c r="I155" s="56"/>
      <c r="J155" s="58">
        <v>0</v>
      </c>
      <c r="K155" s="56">
        <v>0</v>
      </c>
      <c r="L155" s="56">
        <v>0</v>
      </c>
      <c r="M155" s="61">
        <f t="shared" si="13"/>
        <v>0</v>
      </c>
      <c r="N155" s="56">
        <f>IF(ISNA(VLOOKUP($B155,'[1]Current Provision - HYP'!$A$10:$BP$201,$E$5,FALSE))=TRUE,0,VLOOKUP($B155,'[1]Current Provision - HYP'!$A$10:$BP$201,$E$5,FALSE))</f>
        <v>0</v>
      </c>
      <c r="O155" s="56">
        <v>0</v>
      </c>
      <c r="P155" s="58">
        <v>0</v>
      </c>
      <c r="Q155" s="58">
        <v>0</v>
      </c>
      <c r="R155" s="58">
        <v>0</v>
      </c>
      <c r="S155" s="61">
        <f t="shared" si="14"/>
        <v>0</v>
      </c>
      <c r="T155" s="56"/>
      <c r="U155" s="63">
        <f t="shared" si="15"/>
        <v>0</v>
      </c>
      <c r="V155" s="56">
        <f t="shared" si="16"/>
        <v>0</v>
      </c>
      <c r="W155" s="64">
        <f t="shared" si="17"/>
        <v>0</v>
      </c>
      <c r="X155" s="58"/>
      <c r="Z155" s="11">
        <f t="shared" si="18"/>
        <v>0</v>
      </c>
    </row>
    <row r="156" spans="1:26">
      <c r="A156" s="57"/>
      <c r="B156" s="59" t="s">
        <v>266</v>
      </c>
      <c r="D156" s="18"/>
      <c r="E156" s="54" t="s">
        <v>95</v>
      </c>
      <c r="F156" s="79"/>
      <c r="G156" s="61">
        <v>0</v>
      </c>
      <c r="H156" s="56">
        <v>0</v>
      </c>
      <c r="I156" s="56"/>
      <c r="J156" s="58">
        <v>0</v>
      </c>
      <c r="K156" s="56">
        <v>0</v>
      </c>
      <c r="L156" s="56">
        <v>0</v>
      </c>
      <c r="M156" s="61">
        <f t="shared" si="13"/>
        <v>0</v>
      </c>
      <c r="N156" s="56">
        <f>IF(ISNA(VLOOKUP($B156,'[1]Current Provision - HYP'!$A$10:$BP$201,$E$5,FALSE))=TRUE,0,VLOOKUP($B156,'[1]Current Provision - HYP'!$A$10:$BP$201,$E$5,FALSE))</f>
        <v>0</v>
      </c>
      <c r="O156" s="56">
        <v>0</v>
      </c>
      <c r="P156" s="58">
        <v>0</v>
      </c>
      <c r="Q156" s="58">
        <v>0</v>
      </c>
      <c r="R156" s="58">
        <v>0</v>
      </c>
      <c r="S156" s="61">
        <f t="shared" si="14"/>
        <v>0</v>
      </c>
      <c r="T156" s="56"/>
      <c r="U156" s="63">
        <f t="shared" si="15"/>
        <v>0</v>
      </c>
      <c r="V156" s="56">
        <f t="shared" si="16"/>
        <v>0</v>
      </c>
      <c r="W156" s="64">
        <f t="shared" si="17"/>
        <v>0</v>
      </c>
      <c r="X156" s="58"/>
      <c r="Z156" s="11"/>
    </row>
    <row r="157" spans="1:26">
      <c r="A157" s="57"/>
      <c r="B157" s="59" t="s">
        <v>267</v>
      </c>
      <c r="D157" s="18"/>
      <c r="E157" s="54" t="s">
        <v>268</v>
      </c>
      <c r="F157" s="79"/>
      <c r="G157" s="61">
        <v>0</v>
      </c>
      <c r="H157" s="56">
        <v>0</v>
      </c>
      <c r="I157" s="56"/>
      <c r="J157" s="58">
        <v>0</v>
      </c>
      <c r="K157" s="56">
        <v>0</v>
      </c>
      <c r="L157" s="56">
        <v>0</v>
      </c>
      <c r="M157" s="61">
        <f t="shared" si="13"/>
        <v>0</v>
      </c>
      <c r="N157" s="56">
        <f>IF(ISNA(VLOOKUP($B157,'[1]Current Provision - HYP'!$A$10:$BP$201,$E$5,FALSE))=TRUE,0,VLOOKUP($B157,'[1]Current Provision - HYP'!$A$10:$BP$201,$E$5,FALSE))</f>
        <v>0</v>
      </c>
      <c r="O157" s="56">
        <v>0</v>
      </c>
      <c r="P157" s="58">
        <v>0</v>
      </c>
      <c r="Q157" s="58">
        <v>0</v>
      </c>
      <c r="R157" s="58">
        <v>0</v>
      </c>
      <c r="S157" s="61">
        <f t="shared" si="14"/>
        <v>0</v>
      </c>
      <c r="T157" s="56"/>
      <c r="U157" s="63">
        <f t="shared" si="15"/>
        <v>0</v>
      </c>
      <c r="V157" s="56">
        <f t="shared" si="16"/>
        <v>0</v>
      </c>
      <c r="W157" s="64">
        <f t="shared" si="17"/>
        <v>0</v>
      </c>
      <c r="X157" s="58"/>
      <c r="Z157" s="11"/>
    </row>
    <row r="158" spans="1:26">
      <c r="A158" s="57"/>
      <c r="B158" s="59" t="s">
        <v>269</v>
      </c>
      <c r="D158" s="18"/>
      <c r="E158" s="54" t="s">
        <v>90</v>
      </c>
      <c r="F158" s="79"/>
      <c r="G158" s="61">
        <v>0</v>
      </c>
      <c r="H158" s="56">
        <v>0</v>
      </c>
      <c r="I158" s="56"/>
      <c r="J158" s="58">
        <v>0</v>
      </c>
      <c r="K158" s="56">
        <v>0</v>
      </c>
      <c r="L158" s="56">
        <v>0</v>
      </c>
      <c r="M158" s="61">
        <f t="shared" si="13"/>
        <v>0</v>
      </c>
      <c r="N158" s="56">
        <f>IF(ISNA(VLOOKUP($B158,'[1]Current Provision - HYP'!$A$10:$BP$201,$E$5,FALSE))=TRUE,0,VLOOKUP($B158,'[1]Current Provision - HYP'!$A$10:$BP$201,$E$5,FALSE))</f>
        <v>0</v>
      </c>
      <c r="O158" s="56">
        <v>0</v>
      </c>
      <c r="P158" s="58">
        <v>0</v>
      </c>
      <c r="Q158" s="58">
        <v>0</v>
      </c>
      <c r="R158" s="58">
        <v>0</v>
      </c>
      <c r="S158" s="61">
        <f t="shared" si="14"/>
        <v>0</v>
      </c>
      <c r="T158" s="56"/>
      <c r="U158" s="63">
        <f t="shared" si="15"/>
        <v>0</v>
      </c>
      <c r="V158" s="56">
        <f t="shared" si="16"/>
        <v>0</v>
      </c>
      <c r="W158" s="64">
        <f t="shared" si="17"/>
        <v>0</v>
      </c>
      <c r="X158" s="58"/>
      <c r="Z158" s="11"/>
    </row>
    <row r="159" spans="1:26">
      <c r="A159" s="57"/>
      <c r="B159" s="59" t="s">
        <v>270</v>
      </c>
      <c r="D159" s="18"/>
      <c r="E159" s="54" t="s">
        <v>72</v>
      </c>
      <c r="F159" s="79"/>
      <c r="G159" s="61">
        <v>0</v>
      </c>
      <c r="H159" s="56">
        <v>0</v>
      </c>
      <c r="I159" s="56"/>
      <c r="J159" s="58">
        <v>0</v>
      </c>
      <c r="K159" s="56">
        <v>0</v>
      </c>
      <c r="L159" s="56">
        <v>0</v>
      </c>
      <c r="M159" s="61">
        <f t="shared" si="13"/>
        <v>0</v>
      </c>
      <c r="N159" s="56">
        <f>IF(ISNA(VLOOKUP($B159,'[1]Current Provision - HYP'!$A$10:$BP$201,$E$5,FALSE))=TRUE,0,VLOOKUP($B159,'[1]Current Provision - HYP'!$A$10:$BP$201,$E$5,FALSE))</f>
        <v>0</v>
      </c>
      <c r="O159" s="56">
        <v>0</v>
      </c>
      <c r="P159" s="58">
        <v>0</v>
      </c>
      <c r="Q159" s="58">
        <v>0</v>
      </c>
      <c r="R159" s="58">
        <v>0</v>
      </c>
      <c r="S159" s="61">
        <f t="shared" si="14"/>
        <v>0</v>
      </c>
      <c r="T159" s="56"/>
      <c r="U159" s="63">
        <f t="shared" si="15"/>
        <v>0</v>
      </c>
      <c r="V159" s="56">
        <f t="shared" si="16"/>
        <v>0</v>
      </c>
      <c r="W159" s="64">
        <f t="shared" si="17"/>
        <v>0</v>
      </c>
      <c r="X159" s="58"/>
      <c r="Z159" s="11"/>
    </row>
    <row r="160" spans="1:26">
      <c r="A160" s="57"/>
      <c r="B160" s="59" t="s">
        <v>271</v>
      </c>
      <c r="D160" s="18"/>
      <c r="E160" s="54" t="s">
        <v>72</v>
      </c>
      <c r="F160" s="79"/>
      <c r="G160" s="61">
        <v>0</v>
      </c>
      <c r="H160" s="56">
        <v>0</v>
      </c>
      <c r="I160" s="56"/>
      <c r="J160" s="58">
        <v>0</v>
      </c>
      <c r="K160" s="56">
        <v>0</v>
      </c>
      <c r="L160" s="56">
        <v>0</v>
      </c>
      <c r="M160" s="61">
        <f t="shared" si="13"/>
        <v>0</v>
      </c>
      <c r="N160" s="56">
        <f>IF(ISNA(VLOOKUP($B160,'[1]Current Provision - HYP'!$A$10:$BP$201,$E$5,FALSE))=TRUE,0,VLOOKUP($B160,'[1]Current Provision - HYP'!$A$10:$BP$201,$E$5,FALSE))</f>
        <v>0</v>
      </c>
      <c r="O160" s="56">
        <v>0</v>
      </c>
      <c r="P160" s="58">
        <v>0</v>
      </c>
      <c r="Q160" s="58">
        <v>0</v>
      </c>
      <c r="R160" s="58">
        <v>0</v>
      </c>
      <c r="S160" s="61">
        <f t="shared" si="14"/>
        <v>0</v>
      </c>
      <c r="T160" s="56"/>
      <c r="U160" s="63">
        <f t="shared" si="15"/>
        <v>0</v>
      </c>
      <c r="V160" s="56">
        <f t="shared" si="16"/>
        <v>0</v>
      </c>
      <c r="W160" s="64">
        <f t="shared" si="17"/>
        <v>0</v>
      </c>
      <c r="X160" s="58"/>
      <c r="Z160" s="11"/>
    </row>
    <row r="161" spans="1:26">
      <c r="A161" s="57"/>
      <c r="B161" s="59" t="s">
        <v>272</v>
      </c>
      <c r="D161" s="18" t="s">
        <v>93</v>
      </c>
      <c r="E161" s="54" t="s">
        <v>113</v>
      </c>
      <c r="F161" s="79"/>
      <c r="G161" s="61">
        <v>4560804</v>
      </c>
      <c r="H161" s="56">
        <v>0</v>
      </c>
      <c r="I161" s="56"/>
      <c r="J161" s="58">
        <v>3072436</v>
      </c>
      <c r="K161" s="56">
        <v>-1924168</v>
      </c>
      <c r="L161" s="56">
        <v>0</v>
      </c>
      <c r="M161" s="61">
        <f t="shared" si="13"/>
        <v>5709072</v>
      </c>
      <c r="N161" s="56">
        <f>IF(ISNA(VLOOKUP($B161,'[1]Current Provision - HYP'!$A$10:$BP$201,$E$5,FALSE))=TRUE,0,VLOOKUP($B161,'[1]Current Provision - HYP'!$A$10:$BP$201,$E$5,FALSE))</f>
        <v>0</v>
      </c>
      <c r="O161" s="56">
        <v>0</v>
      </c>
      <c r="P161" s="58">
        <v>0</v>
      </c>
      <c r="Q161" s="58">
        <v>0</v>
      </c>
      <c r="R161" s="58">
        <v>1720246</v>
      </c>
      <c r="S161" s="61">
        <f t="shared" si="14"/>
        <v>7429318</v>
      </c>
      <c r="T161" s="56"/>
      <c r="U161" s="63">
        <f t="shared" si="15"/>
        <v>2890004.7019999996</v>
      </c>
      <c r="V161" s="56">
        <f t="shared" si="16"/>
        <v>0</v>
      </c>
      <c r="W161" s="64">
        <f t="shared" si="17"/>
        <v>2890004.7019999996</v>
      </c>
      <c r="X161" s="58"/>
      <c r="Z161" s="11"/>
    </row>
    <row r="162" spans="1:26">
      <c r="A162" s="57"/>
      <c r="B162" s="59" t="s">
        <v>273</v>
      </c>
      <c r="D162" s="18"/>
      <c r="E162" s="54" t="s">
        <v>95</v>
      </c>
      <c r="F162" s="79"/>
      <c r="G162" s="61">
        <v>0</v>
      </c>
      <c r="H162" s="56">
        <v>0</v>
      </c>
      <c r="I162" s="56"/>
      <c r="J162" s="58">
        <v>0</v>
      </c>
      <c r="K162" s="56">
        <v>0</v>
      </c>
      <c r="L162" s="56">
        <v>0</v>
      </c>
      <c r="M162" s="61">
        <f t="shared" si="13"/>
        <v>0</v>
      </c>
      <c r="N162" s="56">
        <f>IF(ISNA(VLOOKUP($B162,'[1]Current Provision - HYP'!$A$10:$BP$201,$E$5,FALSE))=TRUE,0,VLOOKUP($B162,'[1]Current Provision - HYP'!$A$10:$BP$201,$E$5,FALSE))</f>
        <v>0</v>
      </c>
      <c r="O162" s="56">
        <v>0</v>
      </c>
      <c r="P162" s="58">
        <v>0</v>
      </c>
      <c r="Q162" s="58">
        <v>0</v>
      </c>
      <c r="R162" s="58">
        <v>0</v>
      </c>
      <c r="S162" s="61">
        <f t="shared" si="14"/>
        <v>0</v>
      </c>
      <c r="T162" s="56"/>
      <c r="U162" s="63">
        <f t="shared" si="15"/>
        <v>0</v>
      </c>
      <c r="V162" s="56">
        <f t="shared" si="16"/>
        <v>0</v>
      </c>
      <c r="W162" s="64">
        <f t="shared" si="17"/>
        <v>0</v>
      </c>
      <c r="X162" s="58"/>
      <c r="Z162" s="11"/>
    </row>
    <row r="163" spans="1:26">
      <c r="A163" s="57"/>
      <c r="B163" s="59" t="s">
        <v>274</v>
      </c>
      <c r="D163" s="18"/>
      <c r="E163" s="54" t="s">
        <v>275</v>
      </c>
      <c r="F163" s="79"/>
      <c r="G163" s="61">
        <v>0</v>
      </c>
      <c r="H163" s="56">
        <v>0</v>
      </c>
      <c r="I163" s="56"/>
      <c r="J163" s="58">
        <v>0</v>
      </c>
      <c r="K163" s="56">
        <v>0</v>
      </c>
      <c r="L163" s="56">
        <v>0</v>
      </c>
      <c r="M163" s="61">
        <f t="shared" ref="M163:M174" si="19">SUM(G163:L163)</f>
        <v>0</v>
      </c>
      <c r="N163" s="56">
        <f>IF(ISNA(VLOOKUP($B163,'[1]Current Provision - HYP'!$A$10:$BP$201,$E$5,FALSE))=TRUE,0,VLOOKUP($B163,'[1]Current Provision - HYP'!$A$10:$BP$201,$E$5,FALSE))</f>
        <v>0</v>
      </c>
      <c r="O163" s="56">
        <v>0</v>
      </c>
      <c r="P163" s="58">
        <v>0</v>
      </c>
      <c r="Q163" s="58">
        <v>0</v>
      </c>
      <c r="R163" s="58">
        <v>0</v>
      </c>
      <c r="S163" s="61">
        <f t="shared" ref="S163:S174" si="20">SUM(M163:R163)</f>
        <v>0</v>
      </c>
      <c r="T163" s="56"/>
      <c r="U163" s="63">
        <f t="shared" ref="U163:U174" si="21">IF(S163&gt;0,S163*$G$309,0)</f>
        <v>0</v>
      </c>
      <c r="V163" s="56">
        <f t="shared" ref="V163:V174" si="22">IF(S163&lt;0,-S163*$G$309,0)</f>
        <v>0</v>
      </c>
      <c r="W163" s="64">
        <f t="shared" ref="W163:W174" si="23">U163-V163</f>
        <v>0</v>
      </c>
      <c r="X163" s="58"/>
      <c r="Z163" s="11"/>
    </row>
    <row r="164" spans="1:26">
      <c r="A164" s="57" t="s">
        <v>276</v>
      </c>
      <c r="B164" s="59" t="s">
        <v>277</v>
      </c>
      <c r="D164" s="18" t="s">
        <v>93</v>
      </c>
      <c r="E164" s="54" t="s">
        <v>113</v>
      </c>
      <c r="F164" s="79"/>
      <c r="G164" s="61">
        <v>-34619290.463596657</v>
      </c>
      <c r="H164" s="56">
        <v>5376838.1931352522</v>
      </c>
      <c r="I164" s="56"/>
      <c r="J164" s="58"/>
      <c r="K164" s="56">
        <v>0</v>
      </c>
      <c r="L164" s="56">
        <v>0</v>
      </c>
      <c r="M164" s="61">
        <f t="shared" si="19"/>
        <v>-29242452.270461403</v>
      </c>
      <c r="N164" s="56">
        <f>IF(ISNA(VLOOKUP($B164,'[1]Current Provision - HYP'!$A$10:$BP$201,$E$5,FALSE))=TRUE,0,VLOOKUP($B164,'[1]Current Provision - HYP'!$A$10:$BP$201,$E$5,FALSE))</f>
        <v>-5495823.4729174301</v>
      </c>
      <c r="O164" s="56">
        <v>0</v>
      </c>
      <c r="P164" s="58">
        <v>0</v>
      </c>
      <c r="Q164" s="58">
        <v>0</v>
      </c>
      <c r="R164" s="58">
        <f>7055355-7055355</f>
        <v>0</v>
      </c>
      <c r="S164" s="61">
        <f t="shared" si="20"/>
        <v>-34738275.743378833</v>
      </c>
      <c r="T164" s="56"/>
      <c r="U164" s="63">
        <f t="shared" si="21"/>
        <v>0</v>
      </c>
      <c r="V164" s="56">
        <f t="shared" si="22"/>
        <v>13513189.264174365</v>
      </c>
      <c r="W164" s="64">
        <f t="shared" si="23"/>
        <v>-13513189.264174365</v>
      </c>
      <c r="X164" s="58"/>
      <c r="Z164" s="11"/>
    </row>
    <row r="165" spans="1:26">
      <c r="A165" s="57" t="s">
        <v>278</v>
      </c>
      <c r="B165" s="59" t="s">
        <v>279</v>
      </c>
      <c r="D165" s="18"/>
      <c r="E165" s="54" t="s">
        <v>72</v>
      </c>
      <c r="F165" s="79"/>
      <c r="G165" s="61">
        <v>0</v>
      </c>
      <c r="H165" s="56">
        <v>0</v>
      </c>
      <c r="I165" s="56"/>
      <c r="J165" s="58">
        <v>0</v>
      </c>
      <c r="K165" s="56">
        <v>0</v>
      </c>
      <c r="L165" s="56">
        <v>0</v>
      </c>
      <c r="M165" s="61">
        <f t="shared" si="19"/>
        <v>0</v>
      </c>
      <c r="N165" s="56">
        <f>IF(ISNA(VLOOKUP($B165,'[1]Current Provision - HYP'!$A$10:$BP$201,$E$5,FALSE))=TRUE,0,VLOOKUP($B165,'[1]Current Provision - HYP'!$A$10:$BP$201,$E$5,FALSE))</f>
        <v>0</v>
      </c>
      <c r="O165" s="56">
        <v>0</v>
      </c>
      <c r="P165" s="58">
        <v>0</v>
      </c>
      <c r="Q165" s="58">
        <v>0</v>
      </c>
      <c r="R165" s="58">
        <v>0</v>
      </c>
      <c r="S165" s="61">
        <f t="shared" si="20"/>
        <v>0</v>
      </c>
      <c r="T165" s="56"/>
      <c r="U165" s="63">
        <f t="shared" si="21"/>
        <v>0</v>
      </c>
      <c r="V165" s="56">
        <f t="shared" si="22"/>
        <v>0</v>
      </c>
      <c r="W165" s="64">
        <f t="shared" si="23"/>
        <v>0</v>
      </c>
      <c r="X165" s="58"/>
      <c r="Z165" s="11"/>
    </row>
    <row r="166" spans="1:26">
      <c r="A166" s="57" t="s">
        <v>280</v>
      </c>
      <c r="B166" s="260" t="s">
        <v>281</v>
      </c>
      <c r="D166" s="18"/>
      <c r="E166" s="54" t="s">
        <v>282</v>
      </c>
      <c r="F166" s="79"/>
      <c r="G166" s="61">
        <v>58203</v>
      </c>
      <c r="H166" s="56">
        <v>0</v>
      </c>
      <c r="I166" s="56"/>
      <c r="J166" s="58">
        <v>0</v>
      </c>
      <c r="K166" s="56">
        <v>0</v>
      </c>
      <c r="L166" s="56">
        <v>0</v>
      </c>
      <c r="M166" s="61">
        <f t="shared" si="19"/>
        <v>58203</v>
      </c>
      <c r="N166" s="56">
        <f>IF(ISNA(VLOOKUP($B166,'[1]Current Provision - HYP'!$A$10:$BP$201,$E$5,FALSE))=TRUE,0,VLOOKUP($B166,'[1]Current Provision - HYP'!$A$10:$BP$201,$E$5,FALSE))</f>
        <v>-6291</v>
      </c>
      <c r="O166" s="56">
        <v>0</v>
      </c>
      <c r="P166" s="58">
        <v>0</v>
      </c>
      <c r="Q166" s="58">
        <v>0</v>
      </c>
      <c r="R166" s="58">
        <v>0</v>
      </c>
      <c r="S166" s="61">
        <f t="shared" si="20"/>
        <v>51912</v>
      </c>
      <c r="T166" s="56"/>
      <c r="U166" s="63">
        <f t="shared" si="21"/>
        <v>20193.767999999996</v>
      </c>
      <c r="V166" s="56">
        <f t="shared" si="22"/>
        <v>0</v>
      </c>
      <c r="W166" s="64">
        <f t="shared" si="23"/>
        <v>20193.767999999996</v>
      </c>
      <c r="X166" s="58"/>
      <c r="Z166" s="11"/>
    </row>
    <row r="167" spans="1:26">
      <c r="A167" s="57" t="s">
        <v>283</v>
      </c>
      <c r="B167" s="260" t="s">
        <v>284</v>
      </c>
      <c r="D167" s="18"/>
      <c r="E167" s="54" t="s">
        <v>282</v>
      </c>
      <c r="F167" s="79"/>
      <c r="G167" s="61">
        <v>0</v>
      </c>
      <c r="H167" s="56">
        <v>0</v>
      </c>
      <c r="I167" s="56"/>
      <c r="J167" s="58">
        <v>0</v>
      </c>
      <c r="K167" s="56">
        <v>0</v>
      </c>
      <c r="L167" s="56">
        <v>0</v>
      </c>
      <c r="M167" s="61">
        <f t="shared" si="19"/>
        <v>0</v>
      </c>
      <c r="N167" s="56">
        <f>IF(ISNA(VLOOKUP($B167,'[1]Current Provision - HYP'!$A$10:$BP$201,$E$5,FALSE))=TRUE,0,VLOOKUP($B167,'[1]Current Provision - HYP'!$A$10:$BP$201,$E$5,FALSE))</f>
        <v>0</v>
      </c>
      <c r="O167" s="56">
        <v>0</v>
      </c>
      <c r="P167" s="58">
        <v>0</v>
      </c>
      <c r="Q167" s="58">
        <v>0</v>
      </c>
      <c r="R167" s="58">
        <v>0</v>
      </c>
      <c r="S167" s="61">
        <f t="shared" si="20"/>
        <v>0</v>
      </c>
      <c r="T167" s="56"/>
      <c r="U167" s="63">
        <f t="shared" si="21"/>
        <v>0</v>
      </c>
      <c r="V167" s="56">
        <f t="shared" si="22"/>
        <v>0</v>
      </c>
      <c r="W167" s="64">
        <f t="shared" si="23"/>
        <v>0</v>
      </c>
      <c r="X167" s="58"/>
      <c r="Z167" s="11"/>
    </row>
    <row r="168" spans="1:26">
      <c r="A168" s="57" t="s">
        <v>285</v>
      </c>
      <c r="B168" s="261" t="s">
        <v>286</v>
      </c>
      <c r="D168" s="18"/>
      <c r="E168" s="54" t="s">
        <v>282</v>
      </c>
      <c r="F168" s="79"/>
      <c r="G168" s="61">
        <v>74745</v>
      </c>
      <c r="H168" s="56">
        <v>0</v>
      </c>
      <c r="I168" s="56"/>
      <c r="J168" s="58">
        <v>0</v>
      </c>
      <c r="K168" s="56">
        <v>0</v>
      </c>
      <c r="L168" s="56">
        <v>0</v>
      </c>
      <c r="M168" s="61">
        <f t="shared" si="19"/>
        <v>74745</v>
      </c>
      <c r="N168" s="56">
        <f>IF(ISNA(VLOOKUP($B168,'[1]Current Provision - HYP'!$A$10:$BP$201,$E$5,FALSE))=TRUE,0,VLOOKUP($B168,'[1]Current Provision - HYP'!$A$10:$BP$201,$E$5,FALSE))</f>
        <v>32231</v>
      </c>
      <c r="O168" s="56">
        <v>0</v>
      </c>
      <c r="P168" s="58">
        <v>0</v>
      </c>
      <c r="Q168" s="58">
        <v>0</v>
      </c>
      <c r="R168" s="58">
        <v>0</v>
      </c>
      <c r="S168" s="61">
        <f t="shared" si="20"/>
        <v>106976</v>
      </c>
      <c r="T168" s="56"/>
      <c r="U168" s="63">
        <f t="shared" si="21"/>
        <v>41613.663999999997</v>
      </c>
      <c r="V168" s="56">
        <f t="shared" si="22"/>
        <v>0</v>
      </c>
      <c r="W168" s="64">
        <f t="shared" si="23"/>
        <v>41613.663999999997</v>
      </c>
      <c r="X168" s="58"/>
      <c r="Z168" s="11"/>
    </row>
    <row r="169" spans="1:26">
      <c r="A169" s="57" t="s">
        <v>287</v>
      </c>
      <c r="B169" s="261" t="s">
        <v>288</v>
      </c>
      <c r="D169" s="18"/>
      <c r="E169" s="54" t="s">
        <v>282</v>
      </c>
      <c r="F169" s="79"/>
      <c r="G169" s="61">
        <v>892.86000000000058</v>
      </c>
      <c r="H169" s="56">
        <v>4.9999999999272404E-2</v>
      </c>
      <c r="I169" s="56"/>
      <c r="J169" s="58">
        <v>0</v>
      </c>
      <c r="K169" s="56">
        <v>0</v>
      </c>
      <c r="L169" s="56">
        <v>0</v>
      </c>
      <c r="M169" s="61">
        <f t="shared" si="19"/>
        <v>892.90999999999985</v>
      </c>
      <c r="N169" s="56">
        <f>IF(ISNA(VLOOKUP($B169,'[1]Current Provision - HYP'!$A$10:$BP$201,$E$5,FALSE))=TRUE,0,VLOOKUP($B169,'[1]Current Provision - HYP'!$A$10:$BP$201,$E$5,FALSE))</f>
        <v>-173.70999999999913</v>
      </c>
      <c r="O169" s="56">
        <v>0</v>
      </c>
      <c r="P169" s="58">
        <v>0</v>
      </c>
      <c r="Q169" s="58">
        <v>0</v>
      </c>
      <c r="R169" s="58">
        <v>0</v>
      </c>
      <c r="S169" s="61">
        <f t="shared" si="20"/>
        <v>719.20000000000073</v>
      </c>
      <c r="T169" s="56"/>
      <c r="U169" s="63">
        <f t="shared" si="21"/>
        <v>279.76880000000023</v>
      </c>
      <c r="V169" s="56">
        <f t="shared" si="22"/>
        <v>0</v>
      </c>
      <c r="W169" s="64">
        <f t="shared" si="23"/>
        <v>279.76880000000023</v>
      </c>
      <c r="X169" s="58"/>
      <c r="Z169" s="11"/>
    </row>
    <row r="170" spans="1:26">
      <c r="A170" s="57" t="s">
        <v>289</v>
      </c>
      <c r="B170" s="59" t="s">
        <v>290</v>
      </c>
      <c r="D170" s="18"/>
      <c r="E170" s="54" t="s">
        <v>291</v>
      </c>
      <c r="F170" s="79"/>
      <c r="G170" s="61">
        <v>0</v>
      </c>
      <c r="H170" s="56">
        <v>0</v>
      </c>
      <c r="I170" s="56"/>
      <c r="J170" s="58">
        <v>0</v>
      </c>
      <c r="K170" s="56">
        <v>0</v>
      </c>
      <c r="L170" s="56">
        <v>0</v>
      </c>
      <c r="M170" s="61">
        <f t="shared" si="19"/>
        <v>0</v>
      </c>
      <c r="N170" s="56">
        <f>IF(ISNA(VLOOKUP($B170,'[1]Current Provision - HYP'!$A$10:$BP$201,$E$5,FALSE))=TRUE,0,VLOOKUP($B170,'[1]Current Provision - HYP'!$A$10:$BP$201,$E$5,FALSE))</f>
        <v>0</v>
      </c>
      <c r="O170" s="56">
        <v>0</v>
      </c>
      <c r="P170" s="58">
        <v>0</v>
      </c>
      <c r="Q170" s="58">
        <v>0</v>
      </c>
      <c r="R170" s="58">
        <v>0</v>
      </c>
      <c r="S170" s="61">
        <f t="shared" si="20"/>
        <v>0</v>
      </c>
      <c r="T170" s="56"/>
      <c r="U170" s="63">
        <f t="shared" si="21"/>
        <v>0</v>
      </c>
      <c r="V170" s="56">
        <f t="shared" si="22"/>
        <v>0</v>
      </c>
      <c r="W170" s="64">
        <f t="shared" si="23"/>
        <v>0</v>
      </c>
      <c r="X170" s="58"/>
      <c r="Z170" s="11"/>
    </row>
    <row r="171" spans="1:26">
      <c r="A171" s="57"/>
      <c r="B171" s="59" t="s">
        <v>98</v>
      </c>
      <c r="D171" s="18"/>
      <c r="F171" s="84"/>
      <c r="G171" s="61">
        <v>0</v>
      </c>
      <c r="H171" s="56">
        <v>0</v>
      </c>
      <c r="I171" s="56"/>
      <c r="J171" s="58">
        <v>0</v>
      </c>
      <c r="K171" s="56">
        <v>0</v>
      </c>
      <c r="L171" s="56">
        <v>0</v>
      </c>
      <c r="M171" s="61">
        <f t="shared" si="19"/>
        <v>0</v>
      </c>
      <c r="N171" s="56">
        <f>IF(ISNA(VLOOKUP($B171,'[1]Current Provision - HYP'!$A$10:$BP$201,$E$5,FALSE))=TRUE,0,VLOOKUP($B171,'[1]Current Provision - HYP'!$A$10:$BP$201,$E$5,FALSE))</f>
        <v>0</v>
      </c>
      <c r="O171" s="56">
        <v>0</v>
      </c>
      <c r="P171" s="58">
        <v>0</v>
      </c>
      <c r="Q171" s="58">
        <v>0</v>
      </c>
      <c r="R171" s="58">
        <v>0</v>
      </c>
      <c r="S171" s="61">
        <f t="shared" si="20"/>
        <v>0</v>
      </c>
      <c r="T171" s="56"/>
      <c r="U171" s="63">
        <f t="shared" si="21"/>
        <v>0</v>
      </c>
      <c r="V171" s="56">
        <f t="shared" si="22"/>
        <v>0</v>
      </c>
      <c r="W171" s="64">
        <f t="shared" si="23"/>
        <v>0</v>
      </c>
      <c r="X171" s="58"/>
      <c r="Z171" s="11"/>
    </row>
    <row r="172" spans="1:26">
      <c r="A172" s="57"/>
      <c r="B172" s="59" t="s">
        <v>98</v>
      </c>
      <c r="D172" s="18"/>
      <c r="F172" s="84"/>
      <c r="G172" s="61">
        <v>0</v>
      </c>
      <c r="H172" s="56">
        <v>0</v>
      </c>
      <c r="I172" s="56"/>
      <c r="J172" s="58">
        <v>0</v>
      </c>
      <c r="K172" s="56">
        <v>0</v>
      </c>
      <c r="L172" s="56">
        <v>0</v>
      </c>
      <c r="M172" s="61">
        <f t="shared" si="19"/>
        <v>0</v>
      </c>
      <c r="N172" s="56">
        <f>IF(ISNA(VLOOKUP($B172,'[1]Current Provision - HYP'!$A$10:$BP$201,$E$5,FALSE))=TRUE,0,VLOOKUP($B172,'[1]Current Provision - HYP'!$A$10:$BP$201,$E$5,FALSE))</f>
        <v>0</v>
      </c>
      <c r="O172" s="56">
        <v>0</v>
      </c>
      <c r="P172" s="58">
        <v>0</v>
      </c>
      <c r="Q172" s="58">
        <v>0</v>
      </c>
      <c r="R172" s="58">
        <v>0</v>
      </c>
      <c r="S172" s="61">
        <f t="shared" si="20"/>
        <v>0</v>
      </c>
      <c r="T172" s="56"/>
      <c r="U172" s="63">
        <f t="shared" si="21"/>
        <v>0</v>
      </c>
      <c r="V172" s="56">
        <f t="shared" si="22"/>
        <v>0</v>
      </c>
      <c r="W172" s="64">
        <f t="shared" si="23"/>
        <v>0</v>
      </c>
      <c r="X172" s="58"/>
      <c r="Z172" s="11"/>
    </row>
    <row r="173" spans="1:26">
      <c r="A173" s="57"/>
      <c r="B173" s="59" t="s">
        <v>98</v>
      </c>
      <c r="D173" s="18"/>
      <c r="F173" s="84"/>
      <c r="G173" s="61">
        <v>0</v>
      </c>
      <c r="H173" s="56">
        <v>0</v>
      </c>
      <c r="I173" s="56"/>
      <c r="J173" s="58">
        <v>0</v>
      </c>
      <c r="K173" s="56">
        <v>0</v>
      </c>
      <c r="L173" s="56">
        <v>0</v>
      </c>
      <c r="M173" s="61">
        <f t="shared" si="19"/>
        <v>0</v>
      </c>
      <c r="N173" s="56">
        <f>IF(ISNA(VLOOKUP($B173,'[1]Current Provision - HYP'!$A$10:$BP$201,$E$5,FALSE))=TRUE,0,VLOOKUP($B173,'[1]Current Provision - HYP'!$A$10:$BP$201,$E$5,FALSE))</f>
        <v>0</v>
      </c>
      <c r="O173" s="56">
        <v>0</v>
      </c>
      <c r="P173" s="58">
        <v>0</v>
      </c>
      <c r="Q173" s="58">
        <v>0</v>
      </c>
      <c r="R173" s="58">
        <v>0</v>
      </c>
      <c r="S173" s="61">
        <f t="shared" si="20"/>
        <v>0</v>
      </c>
      <c r="T173" s="56"/>
      <c r="U173" s="63">
        <f t="shared" si="21"/>
        <v>0</v>
      </c>
      <c r="V173" s="56">
        <f t="shared" si="22"/>
        <v>0</v>
      </c>
      <c r="W173" s="64">
        <f t="shared" si="23"/>
        <v>0</v>
      </c>
      <c r="X173" s="58"/>
      <c r="Z173" s="11"/>
    </row>
    <row r="174" spans="1:26">
      <c r="A174" s="57"/>
      <c r="B174" s="59" t="s">
        <v>98</v>
      </c>
      <c r="D174" s="18"/>
      <c r="F174" s="84"/>
      <c r="G174" s="61">
        <v>0</v>
      </c>
      <c r="H174" s="56">
        <v>0</v>
      </c>
      <c r="I174" s="56"/>
      <c r="J174" s="58">
        <v>0</v>
      </c>
      <c r="K174" s="56">
        <v>0</v>
      </c>
      <c r="L174" s="56">
        <v>0</v>
      </c>
      <c r="M174" s="61">
        <f t="shared" si="19"/>
        <v>0</v>
      </c>
      <c r="N174" s="56">
        <f>IF(ISNA(VLOOKUP($B174,'[1]Current Provision - HYP'!$A$10:$BP$201,$E$5,FALSE))=TRUE,0,VLOOKUP($B174,'[1]Current Provision - HYP'!$A$10:$BP$201,$E$5,FALSE))</f>
        <v>0</v>
      </c>
      <c r="O174" s="56">
        <v>0</v>
      </c>
      <c r="P174" s="58">
        <v>0</v>
      </c>
      <c r="Q174" s="58">
        <v>0</v>
      </c>
      <c r="R174" s="58">
        <v>0</v>
      </c>
      <c r="S174" s="61">
        <f t="shared" si="20"/>
        <v>0</v>
      </c>
      <c r="T174" s="56"/>
      <c r="U174" s="63">
        <f t="shared" si="21"/>
        <v>0</v>
      </c>
      <c r="V174" s="56">
        <f t="shared" si="22"/>
        <v>0</v>
      </c>
      <c r="W174" s="64">
        <f t="shared" si="23"/>
        <v>0</v>
      </c>
      <c r="X174" s="58"/>
      <c r="Z174" s="11"/>
    </row>
    <row r="175" spans="1:26">
      <c r="A175" s="68" t="s">
        <v>292</v>
      </c>
      <c r="B175" s="68"/>
      <c r="C175" s="69"/>
      <c r="D175" s="69"/>
      <c r="E175" s="69"/>
      <c r="F175" s="70" t="s">
        <v>293</v>
      </c>
      <c r="G175" s="71">
        <f t="shared" ref="G175:S175" si="24">SUM(G35:G174)</f>
        <v>-156668734.12955153</v>
      </c>
      <c r="H175" s="71">
        <f t="shared" si="24"/>
        <v>7061935.73734958</v>
      </c>
      <c r="I175" s="71">
        <f t="shared" si="24"/>
        <v>0</v>
      </c>
      <c r="J175" s="71">
        <f t="shared" si="24"/>
        <v>3124733</v>
      </c>
      <c r="K175" s="71">
        <f t="shared" si="24"/>
        <v>-1924168</v>
      </c>
      <c r="L175" s="71">
        <f t="shared" si="24"/>
        <v>0</v>
      </c>
      <c r="M175" s="71">
        <f t="shared" si="24"/>
        <v>-148406233.39220196</v>
      </c>
      <c r="N175" s="71">
        <f t="shared" si="24"/>
        <v>-7767986.2834715219</v>
      </c>
      <c r="O175" s="71">
        <f t="shared" si="24"/>
        <v>0</v>
      </c>
      <c r="P175" s="71">
        <f t="shared" si="24"/>
        <v>0</v>
      </c>
      <c r="Q175" s="71">
        <f t="shared" si="24"/>
        <v>0</v>
      </c>
      <c r="R175" s="71">
        <f t="shared" si="24"/>
        <v>1720246</v>
      </c>
      <c r="S175" s="71">
        <f t="shared" si="24"/>
        <v>-154453973.67567343</v>
      </c>
      <c r="T175" s="71"/>
      <c r="U175" s="71">
        <f>SUM(U35:U174)</f>
        <v>84408406.264352158</v>
      </c>
      <c r="V175" s="71">
        <f>SUM(V35:V174)</f>
        <v>144491002.02418911</v>
      </c>
      <c r="W175" s="71">
        <f>SUM(W35:W174)</f>
        <v>-60082595.759836949</v>
      </c>
      <c r="X175" s="58"/>
      <c r="Z175" s="11">
        <f t="shared" si="18"/>
        <v>0</v>
      </c>
    </row>
    <row r="176" spans="1:26">
      <c r="A176" s="59"/>
      <c r="B176" s="59"/>
      <c r="C176" s="65"/>
      <c r="D176" s="65"/>
      <c r="E176" s="65"/>
      <c r="F176" s="66"/>
      <c r="G176" s="56"/>
      <c r="H176" s="56"/>
      <c r="I176" s="56"/>
      <c r="J176" s="56"/>
      <c r="K176" s="56"/>
      <c r="L176" s="56"/>
      <c r="M176" s="73" t="str">
        <f>IF(SUM(G175:L175)=M175,"CF","ERROR CF")</f>
        <v>CF</v>
      </c>
      <c r="N176" s="56"/>
      <c r="O176" s="56"/>
      <c r="P176" s="56"/>
      <c r="Q176" s="56"/>
      <c r="R176" s="56"/>
      <c r="S176" s="73" t="str">
        <f>IF(SUM(M175:R175)=S175,"CF","ERROR CF")</f>
        <v>CF</v>
      </c>
      <c r="T176" s="56"/>
      <c r="U176" s="56"/>
      <c r="V176" s="56"/>
      <c r="W176" s="64"/>
      <c r="X176" s="58"/>
      <c r="Z176" s="11"/>
    </row>
    <row r="177" spans="1:26">
      <c r="A177" s="305" t="s">
        <v>294</v>
      </c>
      <c r="B177" s="305"/>
      <c r="C177" s="305"/>
      <c r="D177" s="305"/>
      <c r="E177" s="305"/>
      <c r="F177" s="85" t="s">
        <v>295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4"/>
      <c r="X177" s="58"/>
      <c r="Z177" s="11"/>
    </row>
    <row r="178" spans="1:26" ht="12.75">
      <c r="A178" s="86" t="s">
        <v>296</v>
      </c>
      <c r="B178" s="75" t="str">
        <f>IF(ISNA(VLOOKUP($A178,'[1]Coding (Do not delete)'!$A$7:$K$656,3,FALSE))=TRUE,0,VLOOKUP($A178,'[1]Coding (Do not delete)'!$A$7:$K$656,8,FALSE))</f>
        <v>JE#  0001  Def Hist - AFUDC - Equity CWIP (AFUDC 2) - a/c 185035</v>
      </c>
      <c r="C178" s="65">
        <f>IF(ISNA(VLOOKUP($A178,'[1]Coding (Do not delete)'!$A$7:$K$656,5,FALSE))=TRUE,0,VLOOKUP($A178,'[1]Coding (Do not delete)'!$A$7:$K$656,5,FALSE))</f>
        <v>185035</v>
      </c>
      <c r="D178" s="65" t="s">
        <v>297</v>
      </c>
      <c r="E178" s="54" t="s">
        <v>257</v>
      </c>
      <c r="F178" s="87">
        <v>0</v>
      </c>
      <c r="G178" s="61">
        <v>0</v>
      </c>
      <c r="H178" s="56">
        <v>0</v>
      </c>
      <c r="I178" s="56"/>
      <c r="J178" s="56">
        <v>0</v>
      </c>
      <c r="K178" s="56">
        <v>0</v>
      </c>
      <c r="L178" s="56">
        <v>0</v>
      </c>
      <c r="M178" s="61">
        <f t="shared" ref="M178:M194" si="25">SUM(G178:L178)</f>
        <v>0</v>
      </c>
      <c r="N178" s="56">
        <f>IF(ISNA(VLOOKUP($B178,'[1]Current Provision - HYP'!$A$10:$BP$201,$E$5,FALSE))=TRUE,0,VLOOKUP($B178,'[1]Current Provision - HYP'!$A$10:$BP$201,$E$5,FALSE))</f>
        <v>0</v>
      </c>
      <c r="O178" s="56">
        <f>-SUMIF('[1]Reg Asset Amort'!$J$13:$J$335,CONCATENATE($E$3,$C178),'[1]Reg Asset Amort'!$G$13:$G$335)</f>
        <v>0</v>
      </c>
      <c r="P178" s="58">
        <v>0</v>
      </c>
      <c r="Q178" s="58">
        <v>0</v>
      </c>
      <c r="R178" s="58">
        <v>0</v>
      </c>
      <c r="S178" s="61">
        <f t="shared" ref="S178:S194" si="26">SUM(M178:R178)</f>
        <v>0</v>
      </c>
      <c r="T178" s="56"/>
      <c r="U178" s="63">
        <f t="shared" ref="U178:U194" si="27">IF(S178&gt;0,S178*$G$309,0)</f>
        <v>0</v>
      </c>
      <c r="V178" s="56">
        <f t="shared" ref="V178:V194" si="28">IF(S178&lt;0,-S178*$G$309,0)</f>
        <v>0</v>
      </c>
      <c r="W178" s="64">
        <f t="shared" ref="W178:W194" si="29">U178-V178</f>
        <v>0</v>
      </c>
      <c r="X178" s="58"/>
      <c r="Z178" s="11">
        <f t="shared" ref="Z178:Z195" si="30">SUM(M178:R178)-S178</f>
        <v>0</v>
      </c>
    </row>
    <row r="179" spans="1:26" ht="12.75">
      <c r="A179" s="86" t="s">
        <v>298</v>
      </c>
      <c r="B179" s="75" t="str">
        <f>IF(ISNA(VLOOKUP($A179,'[1]Coding (Do not delete)'!$A$7:$K$656,3,FALSE))=TRUE,0,VLOOKUP($A179,'[1]Coding (Do not delete)'!$A$7:$K$656,8,FALSE))</f>
        <v>JE#  0002  Oth Def Adj - a/c 185040 - Reg Asset Pl Flow-Thru</v>
      </c>
      <c r="C179" s="65">
        <v>18504000</v>
      </c>
      <c r="D179" s="65" t="s">
        <v>297</v>
      </c>
      <c r="E179" s="54" t="s">
        <v>257</v>
      </c>
      <c r="F179" s="87">
        <v>0.1542</v>
      </c>
      <c r="G179" s="61">
        <v>-2201312</v>
      </c>
      <c r="H179" s="56">
        <v>0</v>
      </c>
      <c r="I179" s="56"/>
      <c r="J179" s="56">
        <v>0</v>
      </c>
      <c r="K179" s="56">
        <v>0</v>
      </c>
      <c r="L179" s="56">
        <v>0</v>
      </c>
      <c r="M179" s="61">
        <f t="shared" si="25"/>
        <v>-2201312</v>
      </c>
      <c r="N179" s="56">
        <f>IF(ISNA(VLOOKUP($B179,'[1]Current Provision - HYP'!$A$10:$BP$201,$E$5,FALSE))=TRUE,0,VLOOKUP($B179,'[1]Current Provision - HYP'!$A$10:$BP$201,$E$5,FALSE))</f>
        <v>0</v>
      </c>
      <c r="O179" s="56">
        <f>-SUMIF('[1]Reg Asset Amort'!$J$13:$J$335,CONCATENATE($E$3,$C179),'[1]Reg Asset Amort'!$G$13:$G$335)</f>
        <v>535109.04</v>
      </c>
      <c r="P179" s="58">
        <v>0</v>
      </c>
      <c r="Q179" s="58">
        <v>0</v>
      </c>
      <c r="R179" s="58">
        <v>0</v>
      </c>
      <c r="S179" s="61">
        <f t="shared" si="26"/>
        <v>-1666202.96</v>
      </c>
      <c r="T179" s="56"/>
      <c r="U179" s="63">
        <f t="shared" si="27"/>
        <v>0</v>
      </c>
      <c r="V179" s="56">
        <f t="shared" si="28"/>
        <v>648152.95143999986</v>
      </c>
      <c r="W179" s="64">
        <f t="shared" si="29"/>
        <v>-648152.95143999986</v>
      </c>
      <c r="X179" s="58"/>
      <c r="Z179" s="11">
        <f t="shared" si="30"/>
        <v>0</v>
      </c>
    </row>
    <row r="180" spans="1:26" ht="12.75">
      <c r="A180" s="86" t="s">
        <v>299</v>
      </c>
      <c r="B180" s="75" t="str">
        <f>IF(ISNA(VLOOKUP($A180,'[1]Coding (Do not delete)'!$A$7:$K$656,3,FALSE))=TRUE,0,VLOOKUP($A180,'[1]Coding (Do not delete)'!$A$7:$K$656,8,FALSE))</f>
        <v>JE#  0003  Oth Def Adj -  a/c 185045 - Reg Asset Other</v>
      </c>
      <c r="C180" s="65">
        <v>18504500</v>
      </c>
      <c r="D180" s="65" t="s">
        <v>297</v>
      </c>
      <c r="E180" s="54" t="s">
        <v>257</v>
      </c>
      <c r="F180" s="87">
        <v>0.1542</v>
      </c>
      <c r="G180" s="61">
        <v>380837</v>
      </c>
      <c r="H180" s="56">
        <v>0</v>
      </c>
      <c r="I180" s="56"/>
      <c r="J180" s="56">
        <v>0</v>
      </c>
      <c r="K180" s="56">
        <v>0</v>
      </c>
      <c r="L180" s="56">
        <v>0</v>
      </c>
      <c r="M180" s="61">
        <f t="shared" si="25"/>
        <v>380837</v>
      </c>
      <c r="N180" s="56">
        <f>IF(ISNA(VLOOKUP($B180,'[1]Current Provision - HYP'!$A$10:$BP$201,$E$5,FALSE))=TRUE,0,VLOOKUP($B180,'[1]Current Provision - HYP'!$A$10:$BP$201,$E$5,FALSE))</f>
        <v>0</v>
      </c>
      <c r="O180" s="56">
        <f>-SUMIF('[1]Reg Asset Amort'!$J$13:$J$335,CONCATENATE($E$3,$C180),'[1]Reg Asset Amort'!$G$13:$G$335)</f>
        <v>-24099.96</v>
      </c>
      <c r="P180" s="58">
        <v>0</v>
      </c>
      <c r="Q180" s="58">
        <v>0</v>
      </c>
      <c r="R180" s="58">
        <v>0</v>
      </c>
      <c r="S180" s="61">
        <f t="shared" si="26"/>
        <v>356737.04</v>
      </c>
      <c r="T180" s="56"/>
      <c r="U180" s="63">
        <f t="shared" si="27"/>
        <v>138770.70855999997</v>
      </c>
      <c r="V180" s="56">
        <f t="shared" si="28"/>
        <v>0</v>
      </c>
      <c r="W180" s="64">
        <f t="shared" si="29"/>
        <v>138770.70855999997</v>
      </c>
      <c r="X180" s="58"/>
      <c r="Z180" s="11">
        <f t="shared" si="30"/>
        <v>0</v>
      </c>
    </row>
    <row r="181" spans="1:26" ht="12.75">
      <c r="A181" s="86" t="s">
        <v>300</v>
      </c>
      <c r="B181" s="75" t="str">
        <f>IF(ISNA(VLOOKUP($A181,'[1]Coding (Do not delete)'!$A$7:$K$656,3,FALSE))=TRUE,0,VLOOKUP($A181,'[1]Coding (Do not delete)'!$A$7:$K$656,8,FALSE))</f>
        <v>JE#  0004  Oth Def Adj  - a/c 185050 - Reg Asset St Flow-Thru</v>
      </c>
      <c r="C181" s="65">
        <f>IF(ISNA(VLOOKUP($A181,'[1]Coding (Do not delete)'!$A$7:$K$656,5,FALSE))=TRUE,0,VLOOKUP($A181,'[1]Coding (Do not delete)'!$A$7:$K$656,5,FALSE))</f>
        <v>185050</v>
      </c>
      <c r="D181" s="65" t="s">
        <v>297</v>
      </c>
      <c r="E181" s="54" t="s">
        <v>257</v>
      </c>
      <c r="F181" s="87">
        <v>0</v>
      </c>
      <c r="G181" s="61">
        <v>0</v>
      </c>
      <c r="H181" s="56">
        <v>0</v>
      </c>
      <c r="I181" s="56"/>
      <c r="J181" s="56">
        <v>0</v>
      </c>
      <c r="K181" s="56">
        <v>0</v>
      </c>
      <c r="L181" s="56">
        <v>0</v>
      </c>
      <c r="M181" s="61">
        <f t="shared" si="25"/>
        <v>0</v>
      </c>
      <c r="N181" s="56">
        <f>IF(ISNA(VLOOKUP($B181,'[1]Current Provision - HYP'!$A$10:$BP$201,$E$5,FALSE))=TRUE,0,VLOOKUP($B181,'[1]Current Provision - HYP'!$A$10:$BP$201,$E$5,FALSE))</f>
        <v>0</v>
      </c>
      <c r="O181" s="56">
        <f>-SUMIF('[1]Reg Asset Amort'!$J$13:$J$335,CONCATENATE($E$3,$C181),'[1]Reg Asset Amort'!$G$13:$G$335)</f>
        <v>0</v>
      </c>
      <c r="P181" s="58">
        <v>0</v>
      </c>
      <c r="Q181" s="58">
        <v>0</v>
      </c>
      <c r="R181" s="58">
        <v>0</v>
      </c>
      <c r="S181" s="61">
        <f t="shared" si="26"/>
        <v>0</v>
      </c>
      <c r="T181" s="56"/>
      <c r="U181" s="63">
        <f t="shared" si="27"/>
        <v>0</v>
      </c>
      <c r="V181" s="56">
        <f t="shared" si="28"/>
        <v>0</v>
      </c>
      <c r="W181" s="64">
        <f t="shared" si="29"/>
        <v>0</v>
      </c>
      <c r="X181" s="58"/>
      <c r="Z181" s="11">
        <f t="shared" si="30"/>
        <v>0</v>
      </c>
    </row>
    <row r="182" spans="1:26" ht="12.75">
      <c r="A182" s="86" t="s">
        <v>301</v>
      </c>
      <c r="B182" s="75" t="str">
        <f>IF(ISNA(VLOOKUP($A182,'[1]Coding (Do not delete)'!$A$7:$K$656,3,FALSE))=TRUE,0,VLOOKUP($A182,'[1]Coding (Do not delete)'!$A$7:$K$656,8,FALSE))</f>
        <v>JE#  0005  Oth Def Adj -  a/c 185051 - Reg Asset-St Tax Ch</v>
      </c>
      <c r="C182" s="65">
        <f>IF(ISNA(VLOOKUP($A182,'[1]Coding (Do not delete)'!$A$7:$K$656,5,FALSE))=TRUE,0,VLOOKUP($A182,'[1]Coding (Do not delete)'!$A$7:$K$656,5,FALSE))</f>
        <v>185051</v>
      </c>
      <c r="D182" s="65" t="s">
        <v>297</v>
      </c>
      <c r="E182" s="54" t="s">
        <v>257</v>
      </c>
      <c r="F182" s="87">
        <v>0</v>
      </c>
      <c r="G182" s="61">
        <v>0</v>
      </c>
      <c r="H182" s="56">
        <v>0</v>
      </c>
      <c r="I182" s="56"/>
      <c r="J182" s="56">
        <v>0</v>
      </c>
      <c r="K182" s="56">
        <v>0</v>
      </c>
      <c r="L182" s="56">
        <v>0</v>
      </c>
      <c r="M182" s="61">
        <f t="shared" si="25"/>
        <v>0</v>
      </c>
      <c r="N182" s="56">
        <f>IF(ISNA(VLOOKUP($B182,'[1]Current Provision - HYP'!$A$10:$BP$201,$E$5,FALSE))=TRUE,0,VLOOKUP($B182,'[1]Current Provision - HYP'!$A$10:$BP$201,$E$5,FALSE))</f>
        <v>0</v>
      </c>
      <c r="O182" s="56">
        <f>-SUMIF('[1]Reg Asset Amort'!$J$13:$J$335,CONCATENATE($E$3,$C182),'[1]Reg Asset Amort'!$G$13:$G$335)</f>
        <v>0</v>
      </c>
      <c r="P182" s="58">
        <v>0</v>
      </c>
      <c r="Q182" s="58">
        <v>0</v>
      </c>
      <c r="R182" s="58">
        <v>0</v>
      </c>
      <c r="S182" s="61">
        <f t="shared" si="26"/>
        <v>0</v>
      </c>
      <c r="T182" s="56"/>
      <c r="U182" s="63">
        <f t="shared" si="27"/>
        <v>0</v>
      </c>
      <c r="V182" s="56">
        <f t="shared" si="28"/>
        <v>0</v>
      </c>
      <c r="W182" s="64">
        <f t="shared" si="29"/>
        <v>0</v>
      </c>
      <c r="X182" s="58"/>
      <c r="Z182" s="11">
        <f t="shared" si="30"/>
        <v>0</v>
      </c>
    </row>
    <row r="183" spans="1:26" ht="12.75">
      <c r="A183" s="86" t="s">
        <v>302</v>
      </c>
      <c r="B183" s="75" t="str">
        <f>IF(ISNA(VLOOKUP($A183,'[1]Coding (Do not delete)'!$A$7:$K$656,3,FALSE))=TRUE,0,VLOOKUP($A183,'[1]Coding (Do not delete)'!$A$7:$K$656,8,FALSE))</f>
        <v>JE#  0008  Oth Def Adj - a/c 256210 - Reg Liab AFUDC</v>
      </c>
      <c r="C183" s="88">
        <v>25621200</v>
      </c>
      <c r="D183" s="65" t="s">
        <v>297</v>
      </c>
      <c r="E183" s="54" t="s">
        <v>257</v>
      </c>
      <c r="F183" s="87">
        <v>0.06</v>
      </c>
      <c r="G183" s="61">
        <v>862385</v>
      </c>
      <c r="H183" s="56">
        <v>0</v>
      </c>
      <c r="I183" s="56"/>
      <c r="J183" s="56">
        <v>0</v>
      </c>
      <c r="K183" s="56">
        <v>0</v>
      </c>
      <c r="L183" s="56">
        <v>0</v>
      </c>
      <c r="M183" s="61">
        <f t="shared" si="25"/>
        <v>862385</v>
      </c>
      <c r="N183" s="56">
        <f>IF(ISNA(VLOOKUP($B183,'[1]Current Provision - HYP'!$A$10:$BP$201,$E$5,FALSE))=TRUE,0,VLOOKUP($B183,'[1]Current Provision - HYP'!$A$10:$BP$201,$E$5,FALSE))</f>
        <v>0</v>
      </c>
      <c r="O183" s="56">
        <f>-SUMIF('[1]Reg Asset Amort'!$J$13:$J$335,CONCATENATE($E$3,$C183),'[1]Reg Asset Amort'!$G$13:$G$335)</f>
        <v>-140802.96</v>
      </c>
      <c r="P183" s="58">
        <v>0</v>
      </c>
      <c r="Q183" s="58">
        <v>0</v>
      </c>
      <c r="R183" s="58">
        <v>0</v>
      </c>
      <c r="S183" s="61">
        <f t="shared" si="26"/>
        <v>721582.04</v>
      </c>
      <c r="T183" s="56"/>
      <c r="U183" s="63">
        <f t="shared" si="27"/>
        <v>280695.41355999996</v>
      </c>
      <c r="V183" s="56">
        <f t="shared" si="28"/>
        <v>0</v>
      </c>
      <c r="W183" s="64">
        <f t="shared" si="29"/>
        <v>280695.41355999996</v>
      </c>
      <c r="X183" s="58"/>
      <c r="Z183" s="11">
        <f t="shared" si="30"/>
        <v>0</v>
      </c>
    </row>
    <row r="184" spans="1:26" ht="12.75">
      <c r="A184" s="86" t="s">
        <v>303</v>
      </c>
      <c r="B184" s="75" t="str">
        <f>IF(ISNA(VLOOKUP($A184,'[1]Coding (Do not delete)'!$A$7:$K$656,3,FALSE))=TRUE,0,VLOOKUP($A184,'[1]Coding (Do not delete)'!$A$7:$K$656,8,FALSE))</f>
        <v>JE#  0009  Oth Def Adj - a/c 256220 - Reg Liab Deficit Def FIT</v>
      </c>
      <c r="C184" s="65">
        <v>25622000</v>
      </c>
      <c r="D184" s="65" t="s">
        <v>297</v>
      </c>
      <c r="E184" s="54" t="s">
        <v>257</v>
      </c>
      <c r="F184" s="87">
        <v>0.06</v>
      </c>
      <c r="G184" s="61">
        <v>-168616</v>
      </c>
      <c r="H184" s="56">
        <v>0</v>
      </c>
      <c r="I184" s="56"/>
      <c r="J184" s="56">
        <v>0</v>
      </c>
      <c r="K184" s="56">
        <v>0</v>
      </c>
      <c r="L184" s="56">
        <v>0</v>
      </c>
      <c r="M184" s="61">
        <f t="shared" si="25"/>
        <v>-168616</v>
      </c>
      <c r="N184" s="56">
        <f>IF(ISNA(VLOOKUP($B184,'[1]Current Provision - HYP'!$A$10:$BP$201,$E$5,FALSE))=TRUE,0,VLOOKUP($B184,'[1]Current Provision - HYP'!$A$10:$BP$201,$E$5,FALSE))</f>
        <v>0</v>
      </c>
      <c r="O184" s="56">
        <f>-SUMIF('[1]Reg Asset Amort'!$J$13:$J$335,CONCATENATE($E$3,$C184),'[1]Reg Asset Amort'!$G$13:$G$335)</f>
        <v>27558</v>
      </c>
      <c r="P184" s="58">
        <v>0</v>
      </c>
      <c r="Q184" s="58">
        <v>0</v>
      </c>
      <c r="R184" s="58">
        <v>0</v>
      </c>
      <c r="S184" s="61">
        <f t="shared" si="26"/>
        <v>-141058</v>
      </c>
      <c r="T184" s="56"/>
      <c r="U184" s="63">
        <f t="shared" si="27"/>
        <v>0</v>
      </c>
      <c r="V184" s="56">
        <f t="shared" si="28"/>
        <v>54871.561999999991</v>
      </c>
      <c r="W184" s="64">
        <f t="shared" si="29"/>
        <v>-54871.561999999991</v>
      </c>
      <c r="X184" s="58"/>
      <c r="Z184" s="11">
        <f t="shared" si="30"/>
        <v>0</v>
      </c>
    </row>
    <row r="185" spans="1:26" ht="12.75">
      <c r="A185" s="89" t="s">
        <v>304</v>
      </c>
      <c r="B185" s="75" t="str">
        <f>IF(ISNA(VLOOKUP($A185,'[1]Coding (Do not delete)'!$A$7:$K$656,3,FALSE))=TRUE,0,VLOOKUP($A185,'[1]Coding (Do not delete)'!$A$7:$K$656,8,FALSE))</f>
        <v>JE#  0010  Oth Def Adj - a/c 256230 - Reg Liab Excess Def SIT</v>
      </c>
      <c r="C185" s="65">
        <v>25623200</v>
      </c>
      <c r="D185" s="65" t="s">
        <v>297</v>
      </c>
      <c r="E185" s="54" t="s">
        <v>257</v>
      </c>
      <c r="F185" s="87">
        <v>1</v>
      </c>
      <c r="G185" s="61">
        <f>741385+681761</f>
        <v>1423146</v>
      </c>
      <c r="H185" s="56">
        <v>0</v>
      </c>
      <c r="I185" s="56"/>
      <c r="J185" s="56">
        <v>0</v>
      </c>
      <c r="K185" s="56">
        <v>0</v>
      </c>
      <c r="L185" s="56">
        <v>0</v>
      </c>
      <c r="M185" s="61">
        <f t="shared" si="25"/>
        <v>1423146</v>
      </c>
      <c r="N185" s="56">
        <f>IF(ISNA(VLOOKUP($B185,'[1]Current Provision - HYP'!$A$10:$BP$201,$E$5,FALSE))=TRUE,0,VLOOKUP($B185,'[1]Current Provision - HYP'!$A$10:$BP$201,$E$5,FALSE))</f>
        <v>0</v>
      </c>
      <c r="O185" s="56">
        <f>-SUMIF('[1]Reg Asset Amort'!$J$13:$J$335,CONCATENATE($E$3,$C185),'[1]Reg Asset Amort'!$G$13:$G$335)</f>
        <v>-48684.15</v>
      </c>
      <c r="P185" s="58">
        <v>0</v>
      </c>
      <c r="Q185" s="58">
        <v>0</v>
      </c>
      <c r="R185" s="58">
        <v>0</v>
      </c>
      <c r="S185" s="61">
        <f t="shared" si="26"/>
        <v>1374461.85</v>
      </c>
      <c r="T185" s="56"/>
      <c r="U185" s="63">
        <f t="shared" si="27"/>
        <v>534665.65964999993</v>
      </c>
      <c r="V185" s="56">
        <f t="shared" si="28"/>
        <v>0</v>
      </c>
      <c r="W185" s="64">
        <f t="shared" si="29"/>
        <v>534665.65964999993</v>
      </c>
      <c r="X185" s="58"/>
      <c r="Z185" s="11">
        <f t="shared" si="30"/>
        <v>0</v>
      </c>
    </row>
    <row r="186" spans="1:26" ht="12.75">
      <c r="A186" s="89" t="s">
        <v>305</v>
      </c>
      <c r="B186" s="75" t="str">
        <f>IF(ISNA(VLOOKUP($A186,'[1]Coding (Do not delete)'!$A$7:$K$656,3,FALSE))=TRUE,0,VLOOKUP($A186,'[1]Coding (Do not delete)'!$A$7:$K$656,8,FALSE))</f>
        <v>JE#  0011  Oth Def Adj - a/c 256240 - Reg Liability-Other</v>
      </c>
      <c r="C186" s="65">
        <v>25626000</v>
      </c>
      <c r="D186" s="65" t="s">
        <v>297</v>
      </c>
      <c r="E186" s="54" t="s">
        <v>257</v>
      </c>
      <c r="F186" s="87">
        <v>0.1542</v>
      </c>
      <c r="G186" s="61">
        <v>48249</v>
      </c>
      <c r="H186" s="56">
        <v>0</v>
      </c>
      <c r="I186" s="56"/>
      <c r="J186" s="56">
        <v>0</v>
      </c>
      <c r="K186" s="56">
        <v>0</v>
      </c>
      <c r="L186" s="56">
        <v>0</v>
      </c>
      <c r="M186" s="61">
        <f t="shared" si="25"/>
        <v>48249</v>
      </c>
      <c r="N186" s="56">
        <f>IF(ISNA(VLOOKUP($B186,'[1]Current Provision - HYP'!$A$10:$BP$201,$E$5,FALSE))=TRUE,0,VLOOKUP($B186,'[1]Current Provision - HYP'!$A$10:$BP$201,$E$5,FALSE))</f>
        <v>0</v>
      </c>
      <c r="O186" s="56">
        <f>-SUMIF('[1]Reg Asset Amort'!$J$13:$J$335,CONCATENATE($E$3,$C186),'[1]Reg Asset Amort'!$G$13:$G$335)</f>
        <v>-5184</v>
      </c>
      <c r="P186" s="58">
        <v>0</v>
      </c>
      <c r="Q186" s="58">
        <v>0</v>
      </c>
      <c r="R186" s="58">
        <v>0</v>
      </c>
      <c r="S186" s="61">
        <f t="shared" si="26"/>
        <v>43065</v>
      </c>
      <c r="T186" s="56"/>
      <c r="U186" s="63">
        <f t="shared" si="27"/>
        <v>16752.285</v>
      </c>
      <c r="V186" s="56">
        <f t="shared" si="28"/>
        <v>0</v>
      </c>
      <c r="W186" s="64">
        <f t="shared" si="29"/>
        <v>16752.285</v>
      </c>
      <c r="X186" s="58"/>
      <c r="Z186" s="11">
        <f t="shared" si="30"/>
        <v>0</v>
      </c>
    </row>
    <row r="187" spans="1:26" ht="12.75">
      <c r="A187" s="89" t="s">
        <v>306</v>
      </c>
      <c r="B187" s="75" t="str">
        <f>IF(ISNA(VLOOKUP($A187,'[1]Coding (Do not delete)'!$A$7:$K$656,3,FALSE))=TRUE,0,VLOOKUP($A187,'[1]Coding (Do not delete)'!$A$7:$K$656,8,FALSE))</f>
        <v>JE#  0012  Oth Def Adj - a/c 256310 - Reg Liab ITC Gross-up</v>
      </c>
      <c r="C187" s="65">
        <v>25626100</v>
      </c>
      <c r="D187" s="65" t="s">
        <v>297</v>
      </c>
      <c r="E187" s="54" t="s">
        <v>257</v>
      </c>
      <c r="F187" s="87">
        <v>0.1542</v>
      </c>
      <c r="G187" s="61">
        <v>24339</v>
      </c>
      <c r="H187" s="56">
        <v>0</v>
      </c>
      <c r="I187" s="56"/>
      <c r="J187" s="56">
        <v>0</v>
      </c>
      <c r="K187" s="56">
        <v>0</v>
      </c>
      <c r="L187" s="56">
        <v>0</v>
      </c>
      <c r="M187" s="61">
        <f t="shared" si="25"/>
        <v>24339</v>
      </c>
      <c r="N187" s="56">
        <f>IF(ISNA(VLOOKUP($B187,'[1]Current Provision - HYP'!$A$10:$BP$201,$E$5,FALSE))=TRUE,0,VLOOKUP($B187,'[1]Current Provision - HYP'!$A$10:$BP$201,$E$5,FALSE))</f>
        <v>0</v>
      </c>
      <c r="O187" s="56">
        <f>-SUMIF('[1]Reg Asset Amort'!$J$13:$J$335,CONCATENATE($E$3,$C187),'[1]Reg Asset Amort'!$G$13:$G$335)</f>
        <v>-4269.96</v>
      </c>
      <c r="P187" s="58">
        <v>0</v>
      </c>
      <c r="Q187" s="58">
        <v>0</v>
      </c>
      <c r="R187" s="58">
        <v>0</v>
      </c>
      <c r="S187" s="61">
        <f t="shared" si="26"/>
        <v>20069.04</v>
      </c>
      <c r="T187" s="56"/>
      <c r="U187" s="63">
        <f t="shared" si="27"/>
        <v>7806.8565599999993</v>
      </c>
      <c r="V187" s="56">
        <f t="shared" si="28"/>
        <v>0</v>
      </c>
      <c r="W187" s="64">
        <f t="shared" si="29"/>
        <v>7806.8565599999993</v>
      </c>
      <c r="Z187" s="11">
        <f t="shared" si="30"/>
        <v>0</v>
      </c>
    </row>
    <row r="188" spans="1:26" ht="12.75">
      <c r="A188" s="89" t="s">
        <v>307</v>
      </c>
      <c r="B188" s="75" t="str">
        <f>IF(ISNA(VLOOKUP($A188,'[1]Coding (Do not delete)'!$A$7:$K$656,3,FALSE))=TRUE,0,VLOOKUP($A188,'[1]Coding (Do not delete)'!$A$7:$K$656,8,FALSE))</f>
        <v>JE#  0013  Oth Def Adj - a/c 256315 - Reg Liab State ITC Gr-up</v>
      </c>
      <c r="C188" s="65">
        <v>25626200</v>
      </c>
      <c r="D188" s="65" t="s">
        <v>297</v>
      </c>
      <c r="E188" s="54" t="s">
        <v>257</v>
      </c>
      <c r="F188" s="87">
        <v>0.1542</v>
      </c>
      <c r="G188" s="61">
        <v>425026</v>
      </c>
      <c r="H188" s="56">
        <v>0</v>
      </c>
      <c r="I188" s="56"/>
      <c r="J188" s="56">
        <v>0</v>
      </c>
      <c r="K188" s="56">
        <v>0</v>
      </c>
      <c r="L188" s="56">
        <v>0</v>
      </c>
      <c r="M188" s="61">
        <f t="shared" si="25"/>
        <v>425026</v>
      </c>
      <c r="N188" s="56">
        <f>IF(ISNA(VLOOKUP($B188,'[1]Current Provision - HYP'!$A$10:$BP$201,$E$5,FALSE))=TRUE,0,VLOOKUP($B188,'[1]Current Provision - HYP'!$A$10:$BP$201,$E$5,FALSE))</f>
        <v>0</v>
      </c>
      <c r="O188" s="56">
        <f>-SUMIF('[1]Reg Asset Amort'!$J$13:$J$335,CONCATENATE($E$3,$C188),'[1]Reg Asset Amort'!$G$13:$G$335)</f>
        <v>-39027.96</v>
      </c>
      <c r="P188" s="58">
        <v>0</v>
      </c>
      <c r="Q188" s="58">
        <v>0</v>
      </c>
      <c r="R188" s="58">
        <v>0</v>
      </c>
      <c r="S188" s="61">
        <f t="shared" si="26"/>
        <v>385998.04</v>
      </c>
      <c r="T188" s="56"/>
      <c r="U188" s="63">
        <f t="shared" si="27"/>
        <v>150153.23755999998</v>
      </c>
      <c r="V188" s="56">
        <f t="shared" si="28"/>
        <v>0</v>
      </c>
      <c r="W188" s="64">
        <f t="shared" si="29"/>
        <v>150153.23755999998</v>
      </c>
      <c r="X188" s="58"/>
      <c r="Z188" s="11">
        <f t="shared" si="30"/>
        <v>0</v>
      </c>
    </row>
    <row r="189" spans="1:26" ht="12.75">
      <c r="A189" s="74" t="s">
        <v>86</v>
      </c>
      <c r="B189" s="75" t="s">
        <v>308</v>
      </c>
      <c r="C189" s="65"/>
      <c r="D189" s="65" t="s">
        <v>93</v>
      </c>
      <c r="E189" s="54" t="s">
        <v>257</v>
      </c>
      <c r="F189" s="87">
        <v>0</v>
      </c>
      <c r="G189" s="61">
        <v>0</v>
      </c>
      <c r="H189" s="56">
        <v>0</v>
      </c>
      <c r="I189" s="56"/>
      <c r="J189" s="56">
        <v>0</v>
      </c>
      <c r="K189" s="56">
        <v>0</v>
      </c>
      <c r="L189" s="56">
        <v>0</v>
      </c>
      <c r="M189" s="61">
        <f t="shared" si="25"/>
        <v>0</v>
      </c>
      <c r="N189" s="56">
        <f>IF(ISNA(VLOOKUP($B189,'[1]Current Provision - HYP'!$A$10:$BP$201,$E$5,FALSE))=TRUE,0,VLOOKUP($B189,'[1]Current Provision - HYP'!$A$10:$BP$201,$E$5,FALSE))</f>
        <v>0</v>
      </c>
      <c r="O189" s="56">
        <f>-SUMIF('[1]Reg Asset Amort'!$I$13:$I$335,CONCATENATE($E$3,$C189),'[1]Reg Asset Amort'!$D$13:$D$335)</f>
        <v>0</v>
      </c>
      <c r="P189" s="58">
        <v>0</v>
      </c>
      <c r="Q189" s="58">
        <v>0</v>
      </c>
      <c r="R189" s="58">
        <v>0</v>
      </c>
      <c r="S189" s="61">
        <f t="shared" si="26"/>
        <v>0</v>
      </c>
      <c r="T189" s="56"/>
      <c r="U189" s="63">
        <f t="shared" si="27"/>
        <v>0</v>
      </c>
      <c r="V189" s="56">
        <f t="shared" si="28"/>
        <v>0</v>
      </c>
      <c r="W189" s="64">
        <f t="shared" si="29"/>
        <v>0</v>
      </c>
      <c r="X189" s="58"/>
      <c r="Z189" s="11">
        <f t="shared" si="30"/>
        <v>0</v>
      </c>
    </row>
    <row r="190" spans="1:26">
      <c r="A190" s="74" t="s">
        <v>86</v>
      </c>
      <c r="B190" s="75" t="s">
        <v>309</v>
      </c>
      <c r="C190" s="65"/>
      <c r="D190" s="65" t="s">
        <v>297</v>
      </c>
      <c r="E190" s="54" t="s">
        <v>257</v>
      </c>
      <c r="F190" s="84"/>
      <c r="G190" s="61">
        <v>0</v>
      </c>
      <c r="H190" s="56">
        <v>0</v>
      </c>
      <c r="I190" s="56"/>
      <c r="J190" s="56">
        <v>0</v>
      </c>
      <c r="K190" s="56">
        <v>0</v>
      </c>
      <c r="L190" s="56">
        <v>0</v>
      </c>
      <c r="M190" s="61">
        <f t="shared" si="25"/>
        <v>0</v>
      </c>
      <c r="N190" s="56">
        <f>IF(ISNA(VLOOKUP($B190,'[1]Current Provision - HYP'!$A$10:$BP$201,$E$5,FALSE))=TRUE,0,VLOOKUP($B190,'[1]Current Provision - HYP'!$A$10:$BP$201,$E$5,FALSE))</f>
        <v>0</v>
      </c>
      <c r="O190" s="56">
        <f>-SUMIF('[1]Reg Asset Amort'!$I$13:$I$335,CONCATENATE($E$3,$C190),'[1]Reg Asset Amort'!$D$13:$D$335)</f>
        <v>0</v>
      </c>
      <c r="P190" s="58">
        <v>0</v>
      </c>
      <c r="Q190" s="58">
        <v>0</v>
      </c>
      <c r="R190" s="58">
        <v>0</v>
      </c>
      <c r="S190" s="61">
        <f t="shared" si="26"/>
        <v>0</v>
      </c>
      <c r="T190" s="56"/>
      <c r="U190" s="63">
        <f t="shared" si="27"/>
        <v>0</v>
      </c>
      <c r="V190" s="56">
        <f t="shared" si="28"/>
        <v>0</v>
      </c>
      <c r="W190" s="64">
        <f t="shared" si="29"/>
        <v>0</v>
      </c>
      <c r="X190" s="58"/>
      <c r="Z190" s="11">
        <f t="shared" si="30"/>
        <v>0</v>
      </c>
    </row>
    <row r="191" spans="1:26">
      <c r="A191" s="74" t="s">
        <v>86</v>
      </c>
      <c r="B191" s="75" t="s">
        <v>310</v>
      </c>
      <c r="C191" s="65"/>
      <c r="D191" s="65" t="s">
        <v>93</v>
      </c>
      <c r="E191" s="54" t="s">
        <v>137</v>
      </c>
      <c r="F191" s="84"/>
      <c r="G191" s="61">
        <v>0</v>
      </c>
      <c r="H191" s="56">
        <v>0</v>
      </c>
      <c r="I191" s="56"/>
      <c r="J191" s="56">
        <v>0</v>
      </c>
      <c r="K191" s="56">
        <v>0</v>
      </c>
      <c r="L191" s="56">
        <v>0</v>
      </c>
      <c r="M191" s="61">
        <f t="shared" si="25"/>
        <v>0</v>
      </c>
      <c r="N191" s="56">
        <f>IF(ISNA(VLOOKUP($B191,'[1]Current Provision - HYP'!$A$10:$BP$201,$E$5,FALSE))=TRUE,0,VLOOKUP($B191,'[1]Current Provision - HYP'!$A$10:$BP$201,$E$5,FALSE))</f>
        <v>0</v>
      </c>
      <c r="O191" s="56">
        <v>0</v>
      </c>
      <c r="P191" s="58">
        <v>0</v>
      </c>
      <c r="Q191" s="58">
        <v>0</v>
      </c>
      <c r="R191" s="58">
        <v>0</v>
      </c>
      <c r="S191" s="61">
        <f t="shared" si="26"/>
        <v>0</v>
      </c>
      <c r="T191" s="56"/>
      <c r="U191" s="63">
        <f t="shared" si="27"/>
        <v>0</v>
      </c>
      <c r="V191" s="56">
        <f t="shared" si="28"/>
        <v>0</v>
      </c>
      <c r="W191" s="64">
        <f t="shared" si="29"/>
        <v>0</v>
      </c>
      <c r="X191" s="58"/>
      <c r="Z191" s="11">
        <f t="shared" si="30"/>
        <v>0</v>
      </c>
    </row>
    <row r="192" spans="1:26">
      <c r="A192" s="74" t="s">
        <v>86</v>
      </c>
      <c r="B192" s="75" t="s">
        <v>310</v>
      </c>
      <c r="C192" s="65"/>
      <c r="D192" s="65"/>
      <c r="E192" s="54" t="s">
        <v>257</v>
      </c>
      <c r="F192" s="84"/>
      <c r="G192" s="61">
        <v>0</v>
      </c>
      <c r="H192" s="56">
        <v>0</v>
      </c>
      <c r="I192" s="56"/>
      <c r="J192" s="56">
        <v>0</v>
      </c>
      <c r="K192" s="56">
        <v>0</v>
      </c>
      <c r="L192" s="56">
        <v>0</v>
      </c>
      <c r="M192" s="61">
        <f t="shared" si="25"/>
        <v>0</v>
      </c>
      <c r="N192" s="56">
        <f>IF(ISNA(VLOOKUP($B192,'[1]Current Provision - HYP'!$A$10:$BP$201,$E$5,FALSE))=TRUE,0,VLOOKUP($B192,'[1]Current Provision - HYP'!$A$10:$BP$201,$E$5,FALSE))</f>
        <v>0</v>
      </c>
      <c r="O192" s="56">
        <v>0</v>
      </c>
      <c r="P192" s="58">
        <v>0</v>
      </c>
      <c r="Q192" s="58">
        <v>0</v>
      </c>
      <c r="R192" s="58">
        <v>0</v>
      </c>
      <c r="S192" s="61">
        <f t="shared" si="26"/>
        <v>0</v>
      </c>
      <c r="T192" s="56"/>
      <c r="U192" s="63">
        <f t="shared" si="27"/>
        <v>0</v>
      </c>
      <c r="V192" s="56">
        <f t="shared" si="28"/>
        <v>0</v>
      </c>
      <c r="W192" s="64">
        <f t="shared" si="29"/>
        <v>0</v>
      </c>
      <c r="X192" s="58"/>
      <c r="Z192" s="11">
        <f t="shared" si="30"/>
        <v>0</v>
      </c>
    </row>
    <row r="193" spans="1:26">
      <c r="A193" s="74" t="s">
        <v>86</v>
      </c>
      <c r="B193" s="75" t="s">
        <v>310</v>
      </c>
      <c r="C193" s="65"/>
      <c r="D193" s="65"/>
      <c r="E193" s="54">
        <v>0</v>
      </c>
      <c r="F193" s="84"/>
      <c r="G193" s="61">
        <v>0</v>
      </c>
      <c r="H193" s="56">
        <v>0</v>
      </c>
      <c r="I193" s="56"/>
      <c r="J193" s="56">
        <v>0</v>
      </c>
      <c r="K193" s="56">
        <v>0</v>
      </c>
      <c r="L193" s="56">
        <v>0</v>
      </c>
      <c r="M193" s="61">
        <f t="shared" si="25"/>
        <v>0</v>
      </c>
      <c r="N193" s="56">
        <f>IF(ISNA(VLOOKUP($B193,'[1]Current Provision - HYP'!$A$10:$BP$201,$E$5,FALSE))=TRUE,0,VLOOKUP($B193,'[1]Current Provision - HYP'!$A$10:$BP$201,$E$5,FALSE))</f>
        <v>0</v>
      </c>
      <c r="O193" s="56">
        <v>0</v>
      </c>
      <c r="P193" s="58">
        <v>0</v>
      </c>
      <c r="Q193" s="58">
        <v>0</v>
      </c>
      <c r="R193" s="58">
        <v>0</v>
      </c>
      <c r="S193" s="61">
        <f t="shared" si="26"/>
        <v>0</v>
      </c>
      <c r="T193" s="56"/>
      <c r="U193" s="63">
        <f t="shared" si="27"/>
        <v>0</v>
      </c>
      <c r="V193" s="56">
        <f t="shared" si="28"/>
        <v>0</v>
      </c>
      <c r="W193" s="64">
        <f t="shared" si="29"/>
        <v>0</v>
      </c>
      <c r="X193" s="58"/>
      <c r="Z193" s="11">
        <f t="shared" si="30"/>
        <v>0</v>
      </c>
    </row>
    <row r="194" spans="1:26">
      <c r="A194" s="74" t="s">
        <v>86</v>
      </c>
      <c r="B194" s="75" t="s">
        <v>310</v>
      </c>
      <c r="C194" s="65"/>
      <c r="D194" s="65"/>
      <c r="E194" s="54">
        <v>0</v>
      </c>
      <c r="F194" s="84"/>
      <c r="G194" s="61">
        <v>0</v>
      </c>
      <c r="H194" s="56">
        <v>0</v>
      </c>
      <c r="I194" s="56"/>
      <c r="J194" s="56">
        <v>0</v>
      </c>
      <c r="K194" s="56">
        <v>0</v>
      </c>
      <c r="L194" s="56">
        <v>0</v>
      </c>
      <c r="M194" s="61">
        <f t="shared" si="25"/>
        <v>0</v>
      </c>
      <c r="N194" s="56">
        <f>IF(ISNA(VLOOKUP($B194,'[1]Current Provision - HYP'!$A$10:$BP$201,$E$5,FALSE))=TRUE,0,VLOOKUP($B194,'[1]Current Provision - HYP'!$A$10:$BP$201,$E$5,FALSE))</f>
        <v>0</v>
      </c>
      <c r="O194" s="56">
        <v>0</v>
      </c>
      <c r="P194" s="58">
        <v>0</v>
      </c>
      <c r="Q194" s="58">
        <v>0</v>
      </c>
      <c r="R194" s="58">
        <v>0</v>
      </c>
      <c r="S194" s="61">
        <f t="shared" si="26"/>
        <v>0</v>
      </c>
      <c r="T194" s="56"/>
      <c r="U194" s="63">
        <f t="shared" si="27"/>
        <v>0</v>
      </c>
      <c r="V194" s="56">
        <f t="shared" si="28"/>
        <v>0</v>
      </c>
      <c r="W194" s="64">
        <f t="shared" si="29"/>
        <v>0</v>
      </c>
      <c r="X194" s="58"/>
      <c r="Z194" s="11">
        <f t="shared" si="30"/>
        <v>0</v>
      </c>
    </row>
    <row r="195" spans="1:26">
      <c r="A195" s="68" t="s">
        <v>311</v>
      </c>
      <c r="B195" s="68"/>
      <c r="C195" s="69"/>
      <c r="D195" s="69"/>
      <c r="E195" s="69"/>
      <c r="F195" s="70" t="s">
        <v>312</v>
      </c>
      <c r="G195" s="71">
        <f t="shared" ref="G195:S195" si="31">SUM(G178:G194)</f>
        <v>794054</v>
      </c>
      <c r="H195" s="71">
        <f t="shared" si="31"/>
        <v>0</v>
      </c>
      <c r="I195" s="71">
        <f t="shared" si="31"/>
        <v>0</v>
      </c>
      <c r="J195" s="71">
        <f t="shared" si="31"/>
        <v>0</v>
      </c>
      <c r="K195" s="71">
        <f t="shared" si="31"/>
        <v>0</v>
      </c>
      <c r="L195" s="71">
        <f t="shared" si="31"/>
        <v>0</v>
      </c>
      <c r="M195" s="71">
        <f t="shared" si="31"/>
        <v>794054</v>
      </c>
      <c r="N195" s="71">
        <f t="shared" si="31"/>
        <v>0</v>
      </c>
      <c r="O195" s="71">
        <f>SUM(O178:O194)</f>
        <v>300598.04999999993</v>
      </c>
      <c r="P195" s="71">
        <f>SUM(P178:P194)</f>
        <v>0</v>
      </c>
      <c r="Q195" s="71">
        <f t="shared" si="31"/>
        <v>0</v>
      </c>
      <c r="R195" s="71">
        <f t="shared" si="31"/>
        <v>0</v>
      </c>
      <c r="S195" s="71">
        <f t="shared" si="31"/>
        <v>1094652.0500000003</v>
      </c>
      <c r="T195" s="71"/>
      <c r="U195" s="90">
        <f>SUM(U178:U194)</f>
        <v>1128844.1608899999</v>
      </c>
      <c r="V195" s="71">
        <f>SUM(V178:V194)</f>
        <v>703024.51343999989</v>
      </c>
      <c r="W195" s="91">
        <f>SUM(W178:W194)</f>
        <v>425819.64744999993</v>
      </c>
      <c r="X195" s="58"/>
      <c r="Z195" s="11">
        <f t="shared" si="30"/>
        <v>0</v>
      </c>
    </row>
    <row r="196" spans="1:26">
      <c r="C196" s="88"/>
      <c r="D196" s="10"/>
      <c r="F196" s="84"/>
      <c r="G196" s="56"/>
      <c r="H196" s="56"/>
      <c r="I196" s="56"/>
      <c r="J196" s="56"/>
      <c r="K196" s="56"/>
      <c r="L196" s="56"/>
      <c r="M196" s="73" t="str">
        <f>IF(SUM(G195:L195)=M195,"CF","ERROR CF")</f>
        <v>CF</v>
      </c>
      <c r="N196" s="56"/>
      <c r="O196" s="56"/>
      <c r="P196" s="56"/>
      <c r="Q196" s="56"/>
      <c r="R196" s="56"/>
      <c r="S196" s="73" t="str">
        <f>IF(ROUND(SUM(M195:R195),0)=ROUND(S195,0),"CF","ERROR CF")</f>
        <v>CF</v>
      </c>
      <c r="T196" s="56"/>
      <c r="U196" s="56"/>
      <c r="V196" s="56"/>
      <c r="W196" s="64"/>
      <c r="X196" s="58"/>
      <c r="Z196" s="11"/>
    </row>
    <row r="197" spans="1:26">
      <c r="A197" s="305" t="s">
        <v>313</v>
      </c>
      <c r="B197" s="305"/>
      <c r="C197" s="305"/>
      <c r="D197" s="305"/>
      <c r="E197" s="305"/>
      <c r="F197" s="84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64"/>
      <c r="X197" s="58"/>
      <c r="Z197" s="11"/>
    </row>
    <row r="198" spans="1:26">
      <c r="A198" s="86" t="s">
        <v>314</v>
      </c>
      <c r="B198" s="75" t="str">
        <f>IF(ISNA(VLOOKUP($A198,'[1]Coding (Do not delete)'!$A$7:$K$656,3,FALSE))=TRUE,0,VLOOKUP($A198,'[1]Coding (Do not delete)'!$A$7:$K$656,8,FALSE))</f>
        <v>JE#  0006  Oth Def Adj - a/c 255000 - Unamortized ITC</v>
      </c>
      <c r="C198" s="65">
        <f>IF(ISNA(VLOOKUP($A198,'[1]Coding (Do not delete)'!$A$7:$K$656,5,FALSE))=TRUE,0,VLOOKUP($A198,'[1]Coding (Do not delete)'!$A$7:$K$656,5,FALSE))</f>
        <v>255000</v>
      </c>
      <c r="D198" s="65" t="s">
        <v>315</v>
      </c>
      <c r="E198" s="54" t="s">
        <v>316</v>
      </c>
      <c r="F198" s="79" t="s">
        <v>317</v>
      </c>
      <c r="G198" s="61">
        <v>878622.57</v>
      </c>
      <c r="H198" s="56">
        <v>0</v>
      </c>
      <c r="I198" s="56"/>
      <c r="J198" s="56">
        <v>0</v>
      </c>
      <c r="K198" s="56">
        <v>0</v>
      </c>
      <c r="L198" s="56">
        <v>0</v>
      </c>
      <c r="M198" s="61">
        <f t="shared" ref="M198:M203" si="32">SUM(G198:L198)</f>
        <v>878622.57</v>
      </c>
      <c r="N198" s="56">
        <f>IF(ISNA(VLOOKUP($B198,'[1]Current Provision - HYP'!$A$10:$BP$201,$E$5,FALSE))=TRUE,0,VLOOKUP($B198,'[1]Current Provision - HYP'!$A$10:$BP$201,$E$5,FALSE))</f>
        <v>0</v>
      </c>
      <c r="O198" s="56">
        <v>0</v>
      </c>
      <c r="P198" s="56">
        <f>(IF(ISNA(HLOOKUP($E$3,'[1]Journal Entries Calculation'!$F$7:$BZ$76,74-6,FALSE))=TRUE,0,HLOOKUP($E$3,'[1]Journal Entries Calculation'!$F$7:$BZ$76,74-6,FALSE)))+(IF(ISNA(HLOOKUP($E$3,'[1]Journal Entries Calculation'!$F$7:$BZ$76,76-6,FALSE))=TRUE,0,HLOOKUP($E$3,'[1]Journal Entries Calculation'!$F$7:$BZ$76,76-6,FALSE)))</f>
        <v>-84797.040000000008</v>
      </c>
      <c r="Q198" s="58">
        <v>0</v>
      </c>
      <c r="R198" s="58">
        <v>0</v>
      </c>
      <c r="S198" s="61">
        <f t="shared" ref="S198:S203" si="33">SUM(M198:R198)</f>
        <v>793825.52999999991</v>
      </c>
      <c r="T198" s="56"/>
      <c r="U198" s="63">
        <f t="shared" ref="U198:U203" si="34">IF(S198&gt;0,S198*$G$309,0)</f>
        <v>308798.13116999995</v>
      </c>
      <c r="V198" s="56">
        <f t="shared" ref="V198:V203" si="35">IF(S198&lt;0,-S198*$G$309,0)</f>
        <v>0</v>
      </c>
      <c r="W198" s="64">
        <f t="shared" ref="W198:W203" si="36">U198-V198</f>
        <v>308798.13116999995</v>
      </c>
      <c r="X198" s="58"/>
      <c r="Z198" s="11">
        <f t="shared" ref="Z198:Z204" si="37">SUM(M198:R198)-S198</f>
        <v>0</v>
      </c>
    </row>
    <row r="199" spans="1:26">
      <c r="A199" s="86" t="s">
        <v>318</v>
      </c>
      <c r="B199" s="75" t="str">
        <f>IF(ISNA(VLOOKUP($A199,'[1]Coding (Do not delete)'!$A$7:$K$656,3,FALSE))=TRUE,0,VLOOKUP($A199,'[1]Coding (Do not delete)'!$A$7:$K$656,8,FALSE))</f>
        <v>JE#  0007  Oth Def Adj - a/c 255105 - SIT Unamortized ITC</v>
      </c>
      <c r="C199" s="65">
        <f>IF(ISNA(VLOOKUP($A199,'[1]Coding (Do not delete)'!$A$7:$K$656,5,FALSE))=TRUE,0,VLOOKUP($A199,'[1]Coding (Do not delete)'!$A$7:$K$656,5,FALSE))</f>
        <v>255105</v>
      </c>
      <c r="D199" s="65" t="s">
        <v>315</v>
      </c>
      <c r="E199" s="54" t="s">
        <v>316</v>
      </c>
      <c r="F199" s="84"/>
      <c r="G199" s="61">
        <v>0</v>
      </c>
      <c r="H199" s="56">
        <v>0</v>
      </c>
      <c r="I199" s="56"/>
      <c r="J199" s="56">
        <v>0</v>
      </c>
      <c r="K199" s="56">
        <v>0</v>
      </c>
      <c r="L199" s="56">
        <v>0</v>
      </c>
      <c r="M199" s="61">
        <f t="shared" si="32"/>
        <v>0</v>
      </c>
      <c r="N199" s="56">
        <f>IF(ISNA(VLOOKUP($B199,'[1]Current Provision - HYP'!$A$10:$BP$201,$E$5,FALSE))=TRUE,0,VLOOKUP($B199,'[1]Current Provision - HYP'!$A$10:$BP$201,$E$5,FALSE))</f>
        <v>0</v>
      </c>
      <c r="O199" s="56">
        <v>0</v>
      </c>
      <c r="P199" s="58">
        <v>0</v>
      </c>
      <c r="Q199" s="58">
        <v>0</v>
      </c>
      <c r="R199" s="58">
        <v>0</v>
      </c>
      <c r="S199" s="61">
        <f t="shared" si="33"/>
        <v>0</v>
      </c>
      <c r="T199" s="56"/>
      <c r="U199" s="63">
        <f t="shared" si="34"/>
        <v>0</v>
      </c>
      <c r="V199" s="56">
        <f t="shared" si="35"/>
        <v>0</v>
      </c>
      <c r="W199" s="64">
        <f t="shared" si="36"/>
        <v>0</v>
      </c>
      <c r="X199" s="58"/>
      <c r="Z199" s="11">
        <f t="shared" si="37"/>
        <v>0</v>
      </c>
    </row>
    <row r="200" spans="1:26">
      <c r="A200" s="74" t="s">
        <v>86</v>
      </c>
      <c r="B200" s="75" t="s">
        <v>8</v>
      </c>
      <c r="D200" s="65"/>
      <c r="E200" s="54">
        <v>0</v>
      </c>
      <c r="F200" s="84"/>
      <c r="G200" s="61">
        <v>0</v>
      </c>
      <c r="H200" s="56">
        <v>0</v>
      </c>
      <c r="I200" s="56"/>
      <c r="J200" s="56">
        <v>0</v>
      </c>
      <c r="K200" s="56">
        <v>0</v>
      </c>
      <c r="L200" s="56">
        <v>0</v>
      </c>
      <c r="M200" s="61">
        <f t="shared" si="32"/>
        <v>0</v>
      </c>
      <c r="N200" s="56">
        <f>IF(ISNA(VLOOKUP($B200,'[1]Current Provision - HYP'!$A$10:$BP$201,$E$5,FALSE))=TRUE,0,VLOOKUP($B200,'[1]Current Provision - HYP'!$A$10:$BP$201,$E$5,FALSE))</f>
        <v>0</v>
      </c>
      <c r="O200" s="56">
        <v>0</v>
      </c>
      <c r="P200" s="58">
        <v>0</v>
      </c>
      <c r="Q200" s="58">
        <v>0</v>
      </c>
      <c r="R200" s="58">
        <v>0</v>
      </c>
      <c r="S200" s="61">
        <f t="shared" si="33"/>
        <v>0</v>
      </c>
      <c r="T200" s="56"/>
      <c r="U200" s="63">
        <f t="shared" si="34"/>
        <v>0</v>
      </c>
      <c r="V200" s="56">
        <f t="shared" si="35"/>
        <v>0</v>
      </c>
      <c r="W200" s="64">
        <f t="shared" si="36"/>
        <v>0</v>
      </c>
      <c r="Z200" s="11">
        <f t="shared" si="37"/>
        <v>0</v>
      </c>
    </row>
    <row r="201" spans="1:26">
      <c r="A201" s="74" t="s">
        <v>86</v>
      </c>
      <c r="B201" s="75" t="s">
        <v>8</v>
      </c>
      <c r="D201" s="65"/>
      <c r="E201" s="54">
        <v>0</v>
      </c>
      <c r="F201" s="84"/>
      <c r="G201" s="61">
        <v>0</v>
      </c>
      <c r="H201" s="56">
        <v>0</v>
      </c>
      <c r="I201" s="56"/>
      <c r="J201" s="56">
        <v>0</v>
      </c>
      <c r="K201" s="56">
        <v>0</v>
      </c>
      <c r="L201" s="56">
        <v>0</v>
      </c>
      <c r="M201" s="61">
        <f t="shared" si="32"/>
        <v>0</v>
      </c>
      <c r="N201" s="56">
        <f>IF(ISNA(VLOOKUP($B201,'[1]Current Provision - HYP'!$A$10:$BP$201,$E$5,FALSE))=TRUE,0,VLOOKUP($B201,'[1]Current Provision - HYP'!$A$10:$BP$201,$E$5,FALSE))</f>
        <v>0</v>
      </c>
      <c r="O201" s="56">
        <v>0</v>
      </c>
      <c r="P201" s="58">
        <v>0</v>
      </c>
      <c r="Q201" s="58">
        <v>0</v>
      </c>
      <c r="R201" s="58">
        <v>0</v>
      </c>
      <c r="S201" s="61">
        <f t="shared" si="33"/>
        <v>0</v>
      </c>
      <c r="T201" s="56"/>
      <c r="U201" s="63">
        <f t="shared" si="34"/>
        <v>0</v>
      </c>
      <c r="V201" s="56">
        <f t="shared" si="35"/>
        <v>0</v>
      </c>
      <c r="W201" s="64">
        <f t="shared" si="36"/>
        <v>0</v>
      </c>
      <c r="Z201" s="11">
        <f t="shared" si="37"/>
        <v>0</v>
      </c>
    </row>
    <row r="202" spans="1:26">
      <c r="A202" s="74" t="s">
        <v>86</v>
      </c>
      <c r="B202" s="75" t="s">
        <v>8</v>
      </c>
      <c r="D202" s="65"/>
      <c r="E202" s="54">
        <v>0</v>
      </c>
      <c r="F202" s="84"/>
      <c r="G202" s="61">
        <v>0</v>
      </c>
      <c r="H202" s="56">
        <v>0</v>
      </c>
      <c r="I202" s="56"/>
      <c r="J202" s="56">
        <v>0</v>
      </c>
      <c r="K202" s="56">
        <v>0</v>
      </c>
      <c r="L202" s="56">
        <v>0</v>
      </c>
      <c r="M202" s="61">
        <f t="shared" si="32"/>
        <v>0</v>
      </c>
      <c r="N202" s="56">
        <f>IF(ISNA(VLOOKUP($B202,'[1]Current Provision - HYP'!$A$10:$BP$201,$E$5,FALSE))=TRUE,0,VLOOKUP($B202,'[1]Current Provision - HYP'!$A$10:$BP$201,$E$5,FALSE))</f>
        <v>0</v>
      </c>
      <c r="O202" s="56">
        <v>0</v>
      </c>
      <c r="P202" s="58">
        <v>0</v>
      </c>
      <c r="Q202" s="58">
        <v>0</v>
      </c>
      <c r="R202" s="58">
        <v>0</v>
      </c>
      <c r="S202" s="61">
        <f t="shared" si="33"/>
        <v>0</v>
      </c>
      <c r="T202" s="56"/>
      <c r="U202" s="63">
        <f t="shared" si="34"/>
        <v>0</v>
      </c>
      <c r="V202" s="56">
        <f t="shared" si="35"/>
        <v>0</v>
      </c>
      <c r="W202" s="64">
        <f t="shared" si="36"/>
        <v>0</v>
      </c>
      <c r="Z202" s="11">
        <f t="shared" si="37"/>
        <v>0</v>
      </c>
    </row>
    <row r="203" spans="1:26">
      <c r="A203" s="74" t="s">
        <v>86</v>
      </c>
      <c r="B203" s="75" t="s">
        <v>319</v>
      </c>
      <c r="D203" s="65" t="s">
        <v>315</v>
      </c>
      <c r="E203" s="54" t="s">
        <v>316</v>
      </c>
      <c r="F203" s="84"/>
      <c r="G203" s="61">
        <v>0</v>
      </c>
      <c r="H203" s="56">
        <v>0</v>
      </c>
      <c r="I203" s="56"/>
      <c r="J203" s="56">
        <v>0</v>
      </c>
      <c r="K203" s="56">
        <v>0</v>
      </c>
      <c r="L203" s="56">
        <v>0</v>
      </c>
      <c r="M203" s="61">
        <f t="shared" si="32"/>
        <v>0</v>
      </c>
      <c r="N203" s="56">
        <f>IF(ISNA(VLOOKUP($B203,'[1]Current Provision - HYP'!$A$10:$BP$201,$E$5,FALSE))=TRUE,0,VLOOKUP($B203,'[1]Current Provision - HYP'!$A$10:$BP$201,$E$5,FALSE))</f>
        <v>0</v>
      </c>
      <c r="O203" s="56">
        <v>0</v>
      </c>
      <c r="P203" s="58">
        <v>0</v>
      </c>
      <c r="Q203" s="58">
        <v>0</v>
      </c>
      <c r="R203" s="58">
        <v>0</v>
      </c>
      <c r="S203" s="61">
        <f t="shared" si="33"/>
        <v>0</v>
      </c>
      <c r="T203" s="56"/>
      <c r="U203" s="63">
        <f t="shared" si="34"/>
        <v>0</v>
      </c>
      <c r="V203" s="56">
        <f t="shared" si="35"/>
        <v>0</v>
      </c>
      <c r="W203" s="64">
        <f t="shared" si="36"/>
        <v>0</v>
      </c>
      <c r="X203" s="58"/>
      <c r="Z203" s="11">
        <f t="shared" si="37"/>
        <v>0</v>
      </c>
    </row>
    <row r="204" spans="1:26">
      <c r="A204" s="68" t="s">
        <v>320</v>
      </c>
      <c r="B204" s="68"/>
      <c r="C204" s="69"/>
      <c r="D204" s="69"/>
      <c r="E204" s="69"/>
      <c r="F204" s="70" t="s">
        <v>321</v>
      </c>
      <c r="G204" s="71">
        <f t="shared" ref="G204:S204" si="38">SUM(G198:G203)</f>
        <v>878622.57</v>
      </c>
      <c r="H204" s="71">
        <f t="shared" si="38"/>
        <v>0</v>
      </c>
      <c r="I204" s="71">
        <f t="shared" si="38"/>
        <v>0</v>
      </c>
      <c r="J204" s="71">
        <f t="shared" si="38"/>
        <v>0</v>
      </c>
      <c r="K204" s="71">
        <f t="shared" si="38"/>
        <v>0</v>
      </c>
      <c r="L204" s="71">
        <f t="shared" si="38"/>
        <v>0</v>
      </c>
      <c r="M204" s="71">
        <f t="shared" si="38"/>
        <v>878622.57</v>
      </c>
      <c r="N204" s="71">
        <f t="shared" si="38"/>
        <v>0</v>
      </c>
      <c r="O204" s="71">
        <f t="shared" si="38"/>
        <v>0</v>
      </c>
      <c r="P204" s="71">
        <f t="shared" si="38"/>
        <v>-84797.040000000008</v>
      </c>
      <c r="Q204" s="71">
        <f t="shared" si="38"/>
        <v>0</v>
      </c>
      <c r="R204" s="71">
        <f t="shared" si="38"/>
        <v>0</v>
      </c>
      <c r="S204" s="71">
        <f t="shared" si="38"/>
        <v>793825.52999999991</v>
      </c>
      <c r="T204" s="71"/>
      <c r="U204" s="71">
        <f>SUM(U198:U203)</f>
        <v>308798.13116999995</v>
      </c>
      <c r="V204" s="71">
        <f>SUM(V198:V203)</f>
        <v>0</v>
      </c>
      <c r="W204" s="91">
        <f>SUM(W198:W203)</f>
        <v>308798.13116999995</v>
      </c>
      <c r="Z204" s="11">
        <f t="shared" si="37"/>
        <v>0</v>
      </c>
    </row>
    <row r="205" spans="1:26">
      <c r="A205" s="59"/>
      <c r="B205" s="59"/>
      <c r="C205" s="65"/>
      <c r="D205" s="65"/>
      <c r="E205" s="65"/>
      <c r="F205" s="66"/>
      <c r="G205" s="56"/>
      <c r="H205" s="56"/>
      <c r="I205" s="56"/>
      <c r="J205" s="56"/>
      <c r="K205" s="56"/>
      <c r="L205" s="56"/>
      <c r="M205" s="73" t="str">
        <f>IF(SUM(G204:L204)=M204,"CF","ERROR CF")</f>
        <v>CF</v>
      </c>
      <c r="N205" s="56"/>
      <c r="O205" s="56"/>
      <c r="P205" s="56"/>
      <c r="Q205" s="56"/>
      <c r="R205" s="56"/>
      <c r="S205" s="73" t="str">
        <f>IF(SUM(M204:R204)=S204,"CF","ERROR CF")</f>
        <v>CF</v>
      </c>
      <c r="T205" s="56"/>
      <c r="U205" s="56"/>
      <c r="V205" s="56"/>
      <c r="W205" s="64"/>
      <c r="Z205" s="11"/>
    </row>
    <row r="206" spans="1:26">
      <c r="A206" s="305" t="s">
        <v>322</v>
      </c>
      <c r="B206" s="305"/>
      <c r="C206" s="305"/>
      <c r="D206" s="305"/>
      <c r="E206" s="305"/>
      <c r="F206" s="84"/>
      <c r="G206" s="56"/>
      <c r="H206" s="56"/>
      <c r="I206" s="56"/>
      <c r="J206" s="56"/>
      <c r="K206" s="56"/>
      <c r="L206" s="56"/>
      <c r="M206" s="73"/>
      <c r="N206" s="56"/>
      <c r="O206" s="56"/>
      <c r="P206" s="56"/>
      <c r="Q206" s="56"/>
      <c r="R206" s="56"/>
      <c r="S206" s="73"/>
      <c r="T206" s="56"/>
      <c r="U206" s="56"/>
      <c r="V206" s="56"/>
      <c r="W206" s="64"/>
      <c r="Z206" s="11"/>
    </row>
    <row r="207" spans="1:26">
      <c r="A207" s="89" t="s">
        <v>323</v>
      </c>
      <c r="B207" s="75" t="str">
        <f>IF(ISNA(VLOOKUP($A207,'[1]Coding (Do not delete)'!$A$7:$K$656,3,FALSE))=TRUE,0,VLOOKUP($A207,'[1]Coding (Do not delete)'!$A$7:$K$656,8,FALSE))</f>
        <v>JE#  0014  Net Operating Loss - Federal</v>
      </c>
      <c r="C207" s="54">
        <f>IF(ISNA(VLOOKUP($A207,'[1]Coding (Do not delete)'!$A$7:$K$656,5,FALSE))=TRUE,0,VLOOKUP($A207,'[1]Coding (Do not delete)'!$A$7:$K$656,5,FALSE))</f>
        <v>900300</v>
      </c>
      <c r="D207" s="54" t="s">
        <v>324</v>
      </c>
      <c r="E207" s="54" t="s">
        <v>325</v>
      </c>
      <c r="F207" s="79" t="s">
        <v>326</v>
      </c>
      <c r="G207" s="61">
        <v>1204426.9918952475</v>
      </c>
      <c r="H207" s="56">
        <v>-98778.210715205263</v>
      </c>
      <c r="I207" s="56"/>
      <c r="J207" s="56">
        <f>1936233-298634</f>
        <v>1637599</v>
      </c>
      <c r="K207" s="56">
        <v>0</v>
      </c>
      <c r="L207" s="56">
        <v>0</v>
      </c>
      <c r="M207" s="61">
        <f t="shared" ref="M207:M217" si="39">SUM(G207:L207)</f>
        <v>2743247.7811800423</v>
      </c>
      <c r="N207" s="112">
        <f>(IF(ISNA(HLOOKUP($E$3,'[1]Current Provision - HYP'!$E$7:$BP$205,'[1]Current Provision - HYP'!$DK$172-6,FALSE))=TRUE,0,HLOOKUP($E$3,'[1]Current Provision - HYP'!$E$7:$BP$205,'[1]Current Provision - HYP'!$DK$172-6,FALSE)))*0+(IF(ISNA(HLOOKUP($E$3,'[1]Current Provision - HYP'!$E$7:$BP$205,'[1]Current Provision - HYP'!$DK$173-6,FALSE))=TRUE,0,(HLOOKUP($E$3,'[1]Current Provision - HYP'!$E$7:$BP$205,'[1]Current Provision - HYP'!$DK$173-6,FALSE))))*0</f>
        <v>0</v>
      </c>
      <c r="O207" s="56">
        <v>0</v>
      </c>
      <c r="P207" s="58">
        <v>0</v>
      </c>
      <c r="Q207" s="58">
        <v>0</v>
      </c>
      <c r="S207" s="61">
        <f t="shared" ref="S207:S212" si="40">SUM(M207:R207)</f>
        <v>2743247.7811800423</v>
      </c>
      <c r="T207" s="56"/>
      <c r="U207" s="63">
        <f t="shared" ref="U207:U217" si="41">S207*G$306</f>
        <v>960136.72341301478</v>
      </c>
      <c r="V207" s="93" t="s">
        <v>60</v>
      </c>
      <c r="W207" s="64">
        <f t="shared" ref="W207:W217" si="42">U207</f>
        <v>960136.72341301478</v>
      </c>
      <c r="Z207" s="11">
        <f t="shared" ref="Z207:Z218" si="43">SUM(M207:R207)-S207</f>
        <v>0</v>
      </c>
    </row>
    <row r="208" spans="1:26">
      <c r="A208" s="18"/>
      <c r="B208" s="58" t="s">
        <v>327</v>
      </c>
      <c r="D208" s="54" t="s">
        <v>324</v>
      </c>
      <c r="E208" s="54" t="s">
        <v>325</v>
      </c>
      <c r="F208" s="84"/>
      <c r="G208" s="61">
        <v>0</v>
      </c>
      <c r="H208" s="56">
        <v>12836.531875974801</v>
      </c>
      <c r="I208" s="56"/>
      <c r="J208" s="56">
        <v>0</v>
      </c>
      <c r="K208" s="56">
        <v>0</v>
      </c>
      <c r="L208" s="56">
        <v>0</v>
      </c>
      <c r="M208" s="61">
        <f t="shared" si="39"/>
        <v>12836.531875974801</v>
      </c>
      <c r="N208" s="56">
        <f>IF(ISNA(VLOOKUP($B208,'[1]Current Provision - HYP'!$A$10:$BP$201,$E$5,FALSE))=TRUE,0,VLOOKUP($B208,'[1]Current Provision - HYP'!$A$10:$BP$201,$E$5,FALSE))</f>
        <v>0</v>
      </c>
      <c r="O208" s="56">
        <v>0</v>
      </c>
      <c r="P208" s="58">
        <v>0</v>
      </c>
      <c r="Q208" s="58">
        <v>0</v>
      </c>
      <c r="R208" s="58">
        <v>0</v>
      </c>
      <c r="S208" s="61">
        <f t="shared" si="40"/>
        <v>12836.531875974801</v>
      </c>
      <c r="T208" s="56"/>
      <c r="U208" s="63">
        <f t="shared" si="41"/>
        <v>4492.7861565911799</v>
      </c>
      <c r="V208" s="93" t="s">
        <v>60</v>
      </c>
      <c r="W208" s="64">
        <f t="shared" si="42"/>
        <v>4492.7861565911799</v>
      </c>
      <c r="Z208" s="11">
        <f t="shared" si="43"/>
        <v>0</v>
      </c>
    </row>
    <row r="209" spans="1:26">
      <c r="A209" s="89" t="s">
        <v>328</v>
      </c>
      <c r="B209" s="58" t="s">
        <v>329</v>
      </c>
      <c r="D209" s="74" t="s">
        <v>324</v>
      </c>
      <c r="E209" s="54" t="s">
        <v>330</v>
      </c>
      <c r="F209" s="84"/>
      <c r="G209" s="61">
        <v>450839</v>
      </c>
      <c r="H209" s="56">
        <v>1064988</v>
      </c>
      <c r="I209" s="56"/>
      <c r="J209" s="56">
        <v>0</v>
      </c>
      <c r="K209" s="56">
        <v>0</v>
      </c>
      <c r="L209" s="56">
        <v>0</v>
      </c>
      <c r="M209" s="61">
        <f t="shared" si="39"/>
        <v>1515827</v>
      </c>
      <c r="N209" s="56">
        <f>IF(ISNA(VLOOKUP($B209,'[1]Current Provision - HYP'!$A$10:$BP$201,$E$5,FALSE))=TRUE,0,VLOOKUP($B209,'[1]Current Provision - HYP'!$A$10:$BP$201,$E$5,FALSE))</f>
        <v>0</v>
      </c>
      <c r="O209" s="56">
        <v>0</v>
      </c>
      <c r="P209" s="58">
        <v>0</v>
      </c>
      <c r="Q209" s="58">
        <v>0</v>
      </c>
      <c r="R209" s="58">
        <v>0</v>
      </c>
      <c r="S209" s="61">
        <f t="shared" si="40"/>
        <v>1515827</v>
      </c>
      <c r="T209" s="56"/>
      <c r="U209" s="63">
        <f t="shared" si="41"/>
        <v>530539.44999999995</v>
      </c>
      <c r="V209" s="93" t="s">
        <v>60</v>
      </c>
      <c r="W209" s="64">
        <f t="shared" si="42"/>
        <v>530539.44999999995</v>
      </c>
      <c r="Z209" s="11">
        <f t="shared" si="43"/>
        <v>0</v>
      </c>
    </row>
    <row r="210" spans="1:26">
      <c r="A210" s="74" t="s">
        <v>86</v>
      </c>
      <c r="B210" s="75" t="s">
        <v>8</v>
      </c>
      <c r="D210" s="54" t="s">
        <v>324</v>
      </c>
      <c r="E210" s="54" t="s">
        <v>325</v>
      </c>
      <c r="F210" s="84"/>
      <c r="G210" s="61">
        <v>0</v>
      </c>
      <c r="H210" s="56">
        <v>0</v>
      </c>
      <c r="I210" s="56"/>
      <c r="J210" s="56">
        <v>0</v>
      </c>
      <c r="K210" s="56">
        <v>0</v>
      </c>
      <c r="L210" s="56">
        <v>0</v>
      </c>
      <c r="M210" s="61">
        <f t="shared" si="39"/>
        <v>0</v>
      </c>
      <c r="N210" s="56">
        <f>IF(ISNA(VLOOKUP($B210,'[1]Current Provision - HYP'!$A$10:$BP$201,$E$5,FALSE))=TRUE,0,VLOOKUP($B210,'[1]Current Provision - HYP'!$A$10:$BP$201,$E$5,FALSE))</f>
        <v>0</v>
      </c>
      <c r="O210" s="56">
        <v>0</v>
      </c>
      <c r="P210" s="58">
        <v>0</v>
      </c>
      <c r="Q210" s="58">
        <v>0</v>
      </c>
      <c r="R210" s="58">
        <v>0</v>
      </c>
      <c r="S210" s="61">
        <f t="shared" si="40"/>
        <v>0</v>
      </c>
      <c r="T210" s="56"/>
      <c r="U210" s="63">
        <f t="shared" si="41"/>
        <v>0</v>
      </c>
      <c r="V210" s="93" t="s">
        <v>60</v>
      </c>
      <c r="W210" s="64">
        <f t="shared" si="42"/>
        <v>0</v>
      </c>
      <c r="Z210" s="11">
        <f t="shared" si="43"/>
        <v>0</v>
      </c>
    </row>
    <row r="211" spans="1:26">
      <c r="A211" s="74" t="s">
        <v>86</v>
      </c>
      <c r="B211" s="75" t="s">
        <v>8</v>
      </c>
      <c r="D211" s="54" t="s">
        <v>324</v>
      </c>
      <c r="E211" s="54" t="s">
        <v>325</v>
      </c>
      <c r="F211" s="84"/>
      <c r="G211" s="61">
        <v>0</v>
      </c>
      <c r="H211" s="56">
        <v>0</v>
      </c>
      <c r="I211" s="56"/>
      <c r="J211" s="56">
        <v>0</v>
      </c>
      <c r="K211" s="56">
        <v>0</v>
      </c>
      <c r="L211" s="56">
        <v>0</v>
      </c>
      <c r="M211" s="61">
        <f t="shared" si="39"/>
        <v>0</v>
      </c>
      <c r="N211" s="56">
        <f>IF(ISNA(VLOOKUP($B211,'[1]Current Provision - HYP'!$A$10:$BP$201,$E$5,FALSE))=TRUE,0,VLOOKUP($B211,'[1]Current Provision - HYP'!$A$10:$BP$201,$E$5,FALSE))</f>
        <v>0</v>
      </c>
      <c r="O211" s="56">
        <v>0</v>
      </c>
      <c r="P211" s="58">
        <v>0</v>
      </c>
      <c r="Q211" s="58">
        <v>0</v>
      </c>
      <c r="R211" s="58">
        <v>0</v>
      </c>
      <c r="S211" s="61">
        <f t="shared" si="40"/>
        <v>0</v>
      </c>
      <c r="T211" s="56"/>
      <c r="U211" s="63">
        <f t="shared" si="41"/>
        <v>0</v>
      </c>
      <c r="V211" s="93" t="s">
        <v>60</v>
      </c>
      <c r="W211" s="64">
        <f t="shared" si="42"/>
        <v>0</v>
      </c>
      <c r="Z211" s="11">
        <f t="shared" si="43"/>
        <v>0</v>
      </c>
    </row>
    <row r="212" spans="1:26">
      <c r="A212" s="74" t="s">
        <v>86</v>
      </c>
      <c r="B212" s="75"/>
      <c r="D212" s="54" t="s">
        <v>324</v>
      </c>
      <c r="E212" s="54" t="s">
        <v>325</v>
      </c>
      <c r="F212" s="84"/>
      <c r="G212" s="61">
        <v>0</v>
      </c>
      <c r="H212" s="56">
        <v>0</v>
      </c>
      <c r="I212" s="56"/>
      <c r="J212" s="56">
        <v>0</v>
      </c>
      <c r="K212" s="56">
        <v>0</v>
      </c>
      <c r="L212" s="56">
        <v>0</v>
      </c>
      <c r="M212" s="61">
        <f t="shared" si="39"/>
        <v>0</v>
      </c>
      <c r="N212" s="56"/>
      <c r="O212" s="56">
        <v>0</v>
      </c>
      <c r="P212" s="58">
        <v>0</v>
      </c>
      <c r="Q212" s="58">
        <v>0</v>
      </c>
      <c r="R212" s="58">
        <v>0</v>
      </c>
      <c r="S212" s="61">
        <f t="shared" si="40"/>
        <v>0</v>
      </c>
      <c r="T212" s="56"/>
      <c r="U212" s="63">
        <f t="shared" si="41"/>
        <v>0</v>
      </c>
      <c r="V212" s="93" t="s">
        <v>60</v>
      </c>
      <c r="W212" s="64">
        <f t="shared" si="42"/>
        <v>0</v>
      </c>
      <c r="Z212" s="11">
        <f t="shared" si="43"/>
        <v>0</v>
      </c>
    </row>
    <row r="213" spans="1:26">
      <c r="A213" s="74"/>
      <c r="B213" s="75" t="s">
        <v>331</v>
      </c>
      <c r="E213" s="54" t="s">
        <v>95</v>
      </c>
      <c r="F213" s="84"/>
      <c r="G213" s="61">
        <v>0</v>
      </c>
      <c r="H213" s="56">
        <v>0</v>
      </c>
      <c r="I213" s="56"/>
      <c r="J213" s="56">
        <v>0</v>
      </c>
      <c r="K213" s="56">
        <v>0</v>
      </c>
      <c r="L213" s="56">
        <v>0</v>
      </c>
      <c r="M213" s="61">
        <f t="shared" si="39"/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61">
        <f>SUM(M213:R213)</f>
        <v>0</v>
      </c>
      <c r="T213" s="56"/>
      <c r="U213" s="63">
        <f t="shared" si="41"/>
        <v>0</v>
      </c>
      <c r="V213" s="93" t="s">
        <v>60</v>
      </c>
      <c r="W213" s="64">
        <f t="shared" si="42"/>
        <v>0</v>
      </c>
      <c r="Z213" s="11"/>
    </row>
    <row r="214" spans="1:26">
      <c r="A214" s="74"/>
      <c r="B214" s="75" t="s">
        <v>332</v>
      </c>
      <c r="E214" s="54" t="s">
        <v>325</v>
      </c>
      <c r="F214" s="84"/>
      <c r="G214" s="61">
        <v>0</v>
      </c>
      <c r="H214" s="56">
        <v>0</v>
      </c>
      <c r="I214" s="56"/>
      <c r="J214" s="56">
        <v>0</v>
      </c>
      <c r="K214" s="56">
        <v>0</v>
      </c>
      <c r="L214" s="56">
        <v>0</v>
      </c>
      <c r="M214" s="61">
        <f t="shared" si="39"/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61">
        <f>SUM(M214:R214)</f>
        <v>0</v>
      </c>
      <c r="T214" s="56"/>
      <c r="U214" s="63">
        <f t="shared" si="41"/>
        <v>0</v>
      </c>
      <c r="V214" s="93" t="s">
        <v>60</v>
      </c>
      <c r="W214" s="64">
        <f t="shared" si="42"/>
        <v>0</v>
      </c>
      <c r="Z214" s="11"/>
    </row>
    <row r="215" spans="1:26">
      <c r="A215" s="74"/>
      <c r="B215" s="75" t="s">
        <v>333</v>
      </c>
      <c r="E215" s="54" t="s">
        <v>325</v>
      </c>
      <c r="F215" s="84"/>
      <c r="G215" s="61">
        <v>-650004</v>
      </c>
      <c r="H215" s="56">
        <v>0</v>
      </c>
      <c r="I215" s="56"/>
      <c r="J215" s="262">
        <v>0</v>
      </c>
      <c r="K215" s="56">
        <v>0</v>
      </c>
      <c r="L215" s="56"/>
      <c r="M215" s="61">
        <f t="shared" si="39"/>
        <v>-650004</v>
      </c>
      <c r="N215" s="56"/>
      <c r="O215" s="56"/>
      <c r="P215" s="56"/>
      <c r="Q215" s="56"/>
      <c r="R215" s="58">
        <v>0</v>
      </c>
      <c r="S215" s="61">
        <f>SUM(M215:R215)</f>
        <v>-650004</v>
      </c>
      <c r="T215" s="56"/>
      <c r="U215" s="63">
        <f>S215*G$306</f>
        <v>-227501.4</v>
      </c>
      <c r="V215" s="93" t="s">
        <v>60</v>
      </c>
      <c r="W215" s="64">
        <f>U215</f>
        <v>-227501.4</v>
      </c>
      <c r="Z215" s="11"/>
    </row>
    <row r="216" spans="1:26">
      <c r="A216" s="74"/>
      <c r="B216" s="75" t="s">
        <v>334</v>
      </c>
      <c r="E216" s="54" t="s">
        <v>335</v>
      </c>
      <c r="F216" s="84"/>
      <c r="G216" s="61">
        <v>273647</v>
      </c>
      <c r="H216" s="56">
        <v>0</v>
      </c>
      <c r="I216" s="56"/>
      <c r="J216" s="56">
        <f>11707/0.35</f>
        <v>33448.571428571428</v>
      </c>
      <c r="K216" s="56">
        <v>-25923</v>
      </c>
      <c r="L216" s="56"/>
      <c r="M216" s="61">
        <f t="shared" si="39"/>
        <v>281172.57142857142</v>
      </c>
      <c r="N216" s="56"/>
      <c r="O216" s="56"/>
      <c r="P216" s="56"/>
      <c r="Q216" s="56"/>
      <c r="R216" s="56">
        <v>103215</v>
      </c>
      <c r="S216" s="61">
        <f>SUM(M216:R216)</f>
        <v>384387.57142857142</v>
      </c>
      <c r="T216" s="56"/>
      <c r="U216" s="63">
        <f>S216*G$306</f>
        <v>134535.65</v>
      </c>
      <c r="V216" s="93" t="s">
        <v>60</v>
      </c>
      <c r="W216" s="64">
        <f>U216</f>
        <v>134535.65</v>
      </c>
      <c r="Z216" s="11"/>
    </row>
    <row r="217" spans="1:26">
      <c r="A217" s="74"/>
      <c r="B217" s="75" t="s">
        <v>98</v>
      </c>
      <c r="F217" s="84"/>
      <c r="G217" s="56">
        <v>0</v>
      </c>
      <c r="H217" s="56">
        <v>0</v>
      </c>
      <c r="I217" s="56"/>
      <c r="J217" s="56">
        <v>0</v>
      </c>
      <c r="K217" s="56">
        <v>0</v>
      </c>
      <c r="L217" s="56">
        <v>0</v>
      </c>
      <c r="M217" s="61">
        <f t="shared" si="39"/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61">
        <f>SUM(M217:R217)</f>
        <v>0</v>
      </c>
      <c r="T217" s="56"/>
      <c r="U217" s="63">
        <f t="shared" si="41"/>
        <v>0</v>
      </c>
      <c r="V217" s="93" t="s">
        <v>60</v>
      </c>
      <c r="W217" s="64">
        <f t="shared" si="42"/>
        <v>0</v>
      </c>
      <c r="Z217" s="11"/>
    </row>
    <row r="218" spans="1:26">
      <c r="A218" s="68" t="s">
        <v>336</v>
      </c>
      <c r="B218" s="68"/>
      <c r="C218" s="69"/>
      <c r="D218" s="69"/>
      <c r="E218" s="69"/>
      <c r="F218" s="70" t="s">
        <v>337</v>
      </c>
      <c r="G218" s="71">
        <f t="shared" ref="G218:S218" si="44">SUM(G207:G217)</f>
        <v>1278908.9918952475</v>
      </c>
      <c r="H218" s="71">
        <f t="shared" si="44"/>
        <v>979046.32116076956</v>
      </c>
      <c r="I218" s="71">
        <f t="shared" si="44"/>
        <v>0</v>
      </c>
      <c r="J218" s="71">
        <f t="shared" si="44"/>
        <v>1671047.5714285714</v>
      </c>
      <c r="K218" s="71">
        <f t="shared" si="44"/>
        <v>-25923</v>
      </c>
      <c r="L218" s="71">
        <f t="shared" si="44"/>
        <v>0</v>
      </c>
      <c r="M218" s="71">
        <f t="shared" si="44"/>
        <v>3903079.8844845886</v>
      </c>
      <c r="N218" s="71">
        <f t="shared" si="44"/>
        <v>0</v>
      </c>
      <c r="O218" s="71">
        <f t="shared" si="44"/>
        <v>0</v>
      </c>
      <c r="P218" s="71">
        <f t="shared" si="44"/>
        <v>0</v>
      </c>
      <c r="Q218" s="71">
        <f t="shared" si="44"/>
        <v>0</v>
      </c>
      <c r="R218" s="71">
        <f>SUM(R208:R217)</f>
        <v>103215</v>
      </c>
      <c r="S218" s="71">
        <f t="shared" si="44"/>
        <v>4006294.8844845886</v>
      </c>
      <c r="T218" s="71"/>
      <c r="U218" s="71">
        <f>SUM(U207:U217)</f>
        <v>1402203.209569606</v>
      </c>
      <c r="V218" s="71">
        <f>SUM(V207:V217)</f>
        <v>0</v>
      </c>
      <c r="W218" s="71">
        <f>SUM(W207:W217)</f>
        <v>1402203.209569606</v>
      </c>
      <c r="Z218" s="11">
        <f t="shared" si="43"/>
        <v>0</v>
      </c>
    </row>
    <row r="219" spans="1:26" ht="15">
      <c r="A219" s="18"/>
      <c r="B219" s="58"/>
      <c r="F219" s="84"/>
      <c r="G219" s="56"/>
      <c r="H219" s="56"/>
      <c r="I219" s="56"/>
      <c r="J219" s="56"/>
      <c r="K219" s="56"/>
      <c r="L219" s="56"/>
      <c r="M219" s="73" t="str">
        <f>IF(SUM(G218:L218)=M218,"CF","ERROR CF")</f>
        <v>CF</v>
      </c>
      <c r="N219" s="56"/>
      <c r="O219" s="56"/>
      <c r="P219" s="56"/>
      <c r="Q219" s="56"/>
      <c r="R219" s="56"/>
      <c r="S219" s="73" t="str">
        <f>IF(SUM(M218:R218)=S218,"CF","ERROR CF")</f>
        <v>CF</v>
      </c>
      <c r="T219" s="56"/>
      <c r="U219" s="304" t="s">
        <v>338</v>
      </c>
      <c r="V219" s="304"/>
      <c r="W219" s="304"/>
      <c r="Z219" s="11"/>
    </row>
    <row r="220" spans="1:26">
      <c r="A220" s="305" t="s">
        <v>8</v>
      </c>
      <c r="B220" s="305"/>
      <c r="C220" s="305"/>
      <c r="D220" s="305"/>
      <c r="E220" s="305"/>
      <c r="F220" s="84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64"/>
      <c r="Z220" s="11"/>
    </row>
    <row r="221" spans="1:26">
      <c r="A221" s="18">
        <v>64</v>
      </c>
      <c r="B221" s="58" t="s">
        <v>339</v>
      </c>
      <c r="D221" s="54" t="s">
        <v>76</v>
      </c>
      <c r="E221" s="54" t="s">
        <v>95</v>
      </c>
      <c r="F221" s="79" t="s">
        <v>340</v>
      </c>
      <c r="G221" s="61">
        <v>0</v>
      </c>
      <c r="H221" s="56">
        <v>0</v>
      </c>
      <c r="I221" s="56"/>
      <c r="J221" s="56">
        <v>0</v>
      </c>
      <c r="K221" s="56">
        <v>0</v>
      </c>
      <c r="L221" s="56">
        <v>0</v>
      </c>
      <c r="M221" s="61">
        <f t="shared" ref="M221:M228" si="45">SUM(G221:L221)</f>
        <v>0</v>
      </c>
      <c r="N221" s="56">
        <v>0</v>
      </c>
      <c r="O221" s="56">
        <v>0</v>
      </c>
      <c r="P221" s="58">
        <v>0</v>
      </c>
      <c r="Q221" s="58">
        <v>0</v>
      </c>
      <c r="R221" s="58">
        <v>0</v>
      </c>
      <c r="S221" s="61">
        <f t="shared" ref="S221:S228" si="46">SUM(M221:R221)</f>
        <v>0</v>
      </c>
      <c r="T221" s="56"/>
      <c r="U221" s="63">
        <f t="shared" ref="U221:U228" si="47">IF(S221&gt;0,S221*$G$309,0)</f>
        <v>0</v>
      </c>
      <c r="V221" s="56">
        <f t="shared" ref="V221:V228" si="48">IF(S221&lt;0,-S221*$G$309,0)</f>
        <v>0</v>
      </c>
      <c r="W221" s="64">
        <f t="shared" ref="W221:W228" si="49">U221-V221</f>
        <v>0</v>
      </c>
      <c r="Z221" s="11">
        <f>SUM(M221:R221)-S221</f>
        <v>0</v>
      </c>
    </row>
    <row r="222" spans="1:26">
      <c r="A222" s="74" t="s">
        <v>86</v>
      </c>
      <c r="B222" s="75" t="s">
        <v>341</v>
      </c>
      <c r="E222" s="54" t="s">
        <v>95</v>
      </c>
      <c r="F222" s="84"/>
      <c r="G222" s="61">
        <v>1.3183190836571157E-2</v>
      </c>
      <c r="H222" s="56">
        <v>0</v>
      </c>
      <c r="I222" s="56"/>
      <c r="J222" s="58">
        <v>0</v>
      </c>
      <c r="K222" s="56">
        <v>0</v>
      </c>
      <c r="L222" s="56">
        <v>0</v>
      </c>
      <c r="M222" s="61">
        <f t="shared" si="45"/>
        <v>1.3183190836571157E-2</v>
      </c>
      <c r="N222" s="56">
        <v>0</v>
      </c>
      <c r="O222" s="56">
        <v>0</v>
      </c>
      <c r="P222" s="58">
        <v>0</v>
      </c>
      <c r="Q222" s="58">
        <v>0</v>
      </c>
      <c r="R222" s="58">
        <v>0</v>
      </c>
      <c r="S222" s="61">
        <f t="shared" si="46"/>
        <v>1.3183190836571157E-2</v>
      </c>
      <c r="T222" s="56"/>
      <c r="U222" s="63">
        <f t="shared" si="47"/>
        <v>5.1282612354261797E-3</v>
      </c>
      <c r="V222" s="56">
        <f t="shared" si="48"/>
        <v>0</v>
      </c>
      <c r="W222" s="64">
        <f t="shared" si="49"/>
        <v>5.1282612354261797E-3</v>
      </c>
      <c r="Z222" s="11">
        <f>SUM(M222:R222)-S222</f>
        <v>0</v>
      </c>
    </row>
    <row r="223" spans="1:26">
      <c r="A223" s="74" t="s">
        <v>86</v>
      </c>
      <c r="B223" s="75" t="s">
        <v>342</v>
      </c>
      <c r="D223" s="54" t="s">
        <v>343</v>
      </c>
      <c r="E223" s="54" t="s">
        <v>192</v>
      </c>
      <c r="F223" s="84"/>
      <c r="G223" s="61">
        <v>0</v>
      </c>
      <c r="H223" s="56">
        <v>0</v>
      </c>
      <c r="I223" s="56"/>
      <c r="J223" s="56">
        <v>0</v>
      </c>
      <c r="K223" s="56">
        <v>0</v>
      </c>
      <c r="L223" s="56">
        <v>0</v>
      </c>
      <c r="M223" s="61">
        <f t="shared" si="45"/>
        <v>0</v>
      </c>
      <c r="N223" s="56">
        <v>0</v>
      </c>
      <c r="O223" s="56">
        <v>0</v>
      </c>
      <c r="P223" s="58">
        <v>0</v>
      </c>
      <c r="Q223" s="58">
        <v>0</v>
      </c>
      <c r="R223" s="58">
        <v>0</v>
      </c>
      <c r="S223" s="61">
        <f t="shared" si="46"/>
        <v>0</v>
      </c>
      <c r="T223" s="56"/>
      <c r="U223" s="63">
        <f t="shared" si="47"/>
        <v>0</v>
      </c>
      <c r="V223" s="56">
        <f t="shared" si="48"/>
        <v>0</v>
      </c>
      <c r="W223" s="64">
        <f t="shared" si="49"/>
        <v>0</v>
      </c>
      <c r="Z223" s="11">
        <f>SUM(M223:R223)-S223</f>
        <v>0</v>
      </c>
    </row>
    <row r="224" spans="1:26">
      <c r="A224" s="74" t="s">
        <v>86</v>
      </c>
      <c r="B224" s="75" t="s">
        <v>344</v>
      </c>
      <c r="D224" s="54" t="s">
        <v>345</v>
      </c>
      <c r="E224" s="54" t="s">
        <v>345</v>
      </c>
      <c r="F224" s="84"/>
      <c r="G224" s="61">
        <v>0</v>
      </c>
      <c r="H224" s="56">
        <v>0</v>
      </c>
      <c r="I224" s="56"/>
      <c r="J224" s="56">
        <v>0</v>
      </c>
      <c r="K224" s="56">
        <v>0</v>
      </c>
      <c r="L224" s="56">
        <v>0</v>
      </c>
      <c r="M224" s="61">
        <f t="shared" si="45"/>
        <v>0</v>
      </c>
      <c r="N224" s="56">
        <v>0</v>
      </c>
      <c r="O224" s="56">
        <v>0</v>
      </c>
      <c r="P224" s="58">
        <v>0</v>
      </c>
      <c r="Q224" s="58">
        <v>0</v>
      </c>
      <c r="R224" s="58">
        <v>0</v>
      </c>
      <c r="S224" s="61">
        <f t="shared" si="46"/>
        <v>0</v>
      </c>
      <c r="T224" s="56"/>
      <c r="U224" s="63">
        <f t="shared" si="47"/>
        <v>0</v>
      </c>
      <c r="V224" s="56">
        <f t="shared" si="48"/>
        <v>0</v>
      </c>
      <c r="W224" s="64">
        <f t="shared" si="49"/>
        <v>0</v>
      </c>
      <c r="Z224" s="11">
        <f>SUM(M224:R224)-S224</f>
        <v>0</v>
      </c>
    </row>
    <row r="225" spans="1:26">
      <c r="A225" s="74"/>
      <c r="B225" s="75" t="s">
        <v>346</v>
      </c>
      <c r="E225" s="54" t="s">
        <v>347</v>
      </c>
      <c r="F225" s="84"/>
      <c r="G225" s="61">
        <v>0</v>
      </c>
      <c r="H225" s="56">
        <v>0</v>
      </c>
      <c r="I225" s="56"/>
      <c r="J225" s="56">
        <v>0</v>
      </c>
      <c r="K225" s="56">
        <v>0</v>
      </c>
      <c r="L225" s="56">
        <v>0</v>
      </c>
      <c r="M225" s="61">
        <f t="shared" si="45"/>
        <v>0</v>
      </c>
      <c r="N225" s="56">
        <v>0</v>
      </c>
      <c r="O225" s="56">
        <v>0</v>
      </c>
      <c r="P225" s="58">
        <v>0</v>
      </c>
      <c r="Q225" s="58">
        <v>0</v>
      </c>
      <c r="R225" s="58">
        <v>0</v>
      </c>
      <c r="S225" s="61">
        <f t="shared" si="46"/>
        <v>0</v>
      </c>
      <c r="T225" s="56"/>
      <c r="U225" s="63">
        <f t="shared" si="47"/>
        <v>0</v>
      </c>
      <c r="V225" s="56">
        <f t="shared" si="48"/>
        <v>0</v>
      </c>
      <c r="W225" s="64">
        <f t="shared" si="49"/>
        <v>0</v>
      </c>
      <c r="Z225" s="11"/>
    </row>
    <row r="226" spans="1:26">
      <c r="A226" s="74"/>
      <c r="B226" s="75" t="s">
        <v>348</v>
      </c>
      <c r="E226" s="54" t="s">
        <v>345</v>
      </c>
      <c r="F226" s="84"/>
      <c r="G226" s="61">
        <v>0</v>
      </c>
      <c r="H226" s="56">
        <v>0</v>
      </c>
      <c r="I226" s="56"/>
      <c r="J226" s="56">
        <v>0</v>
      </c>
      <c r="K226" s="56">
        <v>0</v>
      </c>
      <c r="L226" s="56">
        <v>0</v>
      </c>
      <c r="M226" s="61">
        <f t="shared" si="45"/>
        <v>0</v>
      </c>
      <c r="N226" s="56">
        <f>-N225</f>
        <v>0</v>
      </c>
      <c r="O226" s="56">
        <v>0</v>
      </c>
      <c r="P226" s="58">
        <v>0</v>
      </c>
      <c r="Q226" s="58">
        <v>0</v>
      </c>
      <c r="R226" s="58">
        <v>0</v>
      </c>
      <c r="S226" s="61">
        <f t="shared" si="46"/>
        <v>0</v>
      </c>
      <c r="T226" s="56"/>
      <c r="U226" s="63">
        <f t="shared" si="47"/>
        <v>0</v>
      </c>
      <c r="V226" s="56">
        <f t="shared" si="48"/>
        <v>0</v>
      </c>
      <c r="W226" s="64">
        <f t="shared" si="49"/>
        <v>0</v>
      </c>
      <c r="Z226" s="11"/>
    </row>
    <row r="227" spans="1:26">
      <c r="A227" s="74"/>
      <c r="B227" s="75" t="s">
        <v>8</v>
      </c>
      <c r="E227" s="54" t="s">
        <v>192</v>
      </c>
      <c r="F227" s="84"/>
      <c r="G227" s="61">
        <v>0</v>
      </c>
      <c r="H227" s="56">
        <v>0</v>
      </c>
      <c r="I227" s="56"/>
      <c r="J227" s="56">
        <v>0</v>
      </c>
      <c r="K227" s="56">
        <v>0</v>
      </c>
      <c r="L227" s="56">
        <v>0</v>
      </c>
      <c r="M227" s="61">
        <f t="shared" si="45"/>
        <v>0</v>
      </c>
      <c r="N227" s="56">
        <v>0</v>
      </c>
      <c r="O227" s="56">
        <v>0</v>
      </c>
      <c r="P227" s="58">
        <v>0</v>
      </c>
      <c r="Q227" s="58">
        <v>0</v>
      </c>
      <c r="R227" s="56"/>
      <c r="S227" s="61">
        <f t="shared" si="46"/>
        <v>0</v>
      </c>
      <c r="T227" s="56"/>
      <c r="U227" s="63">
        <f t="shared" si="47"/>
        <v>0</v>
      </c>
      <c r="V227" s="56">
        <f t="shared" si="48"/>
        <v>0</v>
      </c>
      <c r="W227" s="64">
        <f t="shared" si="49"/>
        <v>0</v>
      </c>
      <c r="Z227" s="11"/>
    </row>
    <row r="228" spans="1:26">
      <c r="A228" s="74"/>
      <c r="B228" s="75" t="s">
        <v>98</v>
      </c>
      <c r="F228" s="84"/>
      <c r="G228" s="61">
        <v>0</v>
      </c>
      <c r="H228" s="56">
        <v>0</v>
      </c>
      <c r="I228" s="56"/>
      <c r="J228" s="56">
        <v>0</v>
      </c>
      <c r="K228" s="56">
        <v>0</v>
      </c>
      <c r="L228" s="56">
        <v>0</v>
      </c>
      <c r="M228" s="61">
        <f t="shared" si="45"/>
        <v>0</v>
      </c>
      <c r="N228" s="56">
        <v>0</v>
      </c>
      <c r="O228" s="56">
        <v>0</v>
      </c>
      <c r="P228" s="58">
        <v>0</v>
      </c>
      <c r="Q228" s="58">
        <v>0</v>
      </c>
      <c r="R228" s="58">
        <v>0</v>
      </c>
      <c r="S228" s="61">
        <f t="shared" si="46"/>
        <v>0</v>
      </c>
      <c r="T228" s="56"/>
      <c r="U228" s="63">
        <f t="shared" si="47"/>
        <v>0</v>
      </c>
      <c r="V228" s="56">
        <f t="shared" si="48"/>
        <v>0</v>
      </c>
      <c r="W228" s="64">
        <f t="shared" si="49"/>
        <v>0</v>
      </c>
      <c r="Z228" s="11"/>
    </row>
    <row r="229" spans="1:26">
      <c r="A229" s="68" t="s">
        <v>349</v>
      </c>
      <c r="B229" s="68"/>
      <c r="C229" s="69"/>
      <c r="D229" s="69"/>
      <c r="E229" s="69"/>
      <c r="F229" s="70" t="s">
        <v>350</v>
      </c>
      <c r="G229" s="71">
        <f t="shared" ref="G229:S229" si="50">SUM(G220:G228)</f>
        <v>1.3183190836571157E-2</v>
      </c>
      <c r="H229" s="71">
        <f t="shared" si="50"/>
        <v>0</v>
      </c>
      <c r="I229" s="71">
        <f t="shared" si="50"/>
        <v>0</v>
      </c>
      <c r="J229" s="71">
        <f t="shared" si="50"/>
        <v>0</v>
      </c>
      <c r="K229" s="71">
        <f t="shared" si="50"/>
        <v>0</v>
      </c>
      <c r="L229" s="71">
        <f t="shared" si="50"/>
        <v>0</v>
      </c>
      <c r="M229" s="71">
        <f t="shared" si="50"/>
        <v>1.3183190836571157E-2</v>
      </c>
      <c r="N229" s="71">
        <f t="shared" si="50"/>
        <v>0</v>
      </c>
      <c r="O229" s="71">
        <f t="shared" si="50"/>
        <v>0</v>
      </c>
      <c r="P229" s="71">
        <f t="shared" si="50"/>
        <v>0</v>
      </c>
      <c r="Q229" s="71">
        <f t="shared" si="50"/>
        <v>0</v>
      </c>
      <c r="R229" s="71">
        <f>SUM(R220:R228)</f>
        <v>0</v>
      </c>
      <c r="S229" s="71">
        <f t="shared" si="50"/>
        <v>1.3183190836571157E-2</v>
      </c>
      <c r="T229" s="71"/>
      <c r="U229" s="71">
        <f>SUM(U220:U228)</f>
        <v>5.1282612354261797E-3</v>
      </c>
      <c r="V229" s="71">
        <f>SUM(V220:V228)</f>
        <v>0</v>
      </c>
      <c r="W229" s="71">
        <f>SUM(W220:W228)</f>
        <v>5.1282612354261797E-3</v>
      </c>
      <c r="Z229" s="11">
        <f>SUM(M229:R229)-S229</f>
        <v>0</v>
      </c>
    </row>
    <row r="230" spans="1:26">
      <c r="A230" s="74"/>
      <c r="B230" s="75"/>
      <c r="F230" s="84"/>
      <c r="G230" s="56"/>
      <c r="H230" s="56"/>
      <c r="I230" s="56"/>
      <c r="J230" s="56"/>
      <c r="K230" s="56"/>
      <c r="L230" s="56"/>
      <c r="M230" s="73" t="str">
        <f>IF(SUM(G229:L229)=M229,"CF","ERROR CF")</f>
        <v>CF</v>
      </c>
      <c r="N230" s="56"/>
      <c r="O230" s="56"/>
      <c r="P230" s="56"/>
      <c r="Q230" s="56"/>
      <c r="R230" s="56"/>
      <c r="S230" s="73" t="str">
        <f>IF(SUM(M229:R229)=S229,"CF","ERROR CF")</f>
        <v>CF</v>
      </c>
      <c r="T230" s="56"/>
      <c r="U230" s="56"/>
      <c r="V230" s="56"/>
      <c r="W230" s="64"/>
      <c r="Z230" s="11"/>
    </row>
    <row r="231" spans="1:26">
      <c r="A231" s="305" t="s">
        <v>351</v>
      </c>
      <c r="B231" s="305"/>
      <c r="C231" s="305"/>
      <c r="D231" s="305"/>
      <c r="E231" s="305"/>
      <c r="F231" s="8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64"/>
      <c r="Z231" s="11"/>
    </row>
    <row r="232" spans="1:26">
      <c r="A232" s="74" t="s">
        <v>86</v>
      </c>
      <c r="B232" s="75" t="s">
        <v>352</v>
      </c>
      <c r="D232" s="54" t="s">
        <v>324</v>
      </c>
      <c r="E232" s="54" t="s">
        <v>353</v>
      </c>
      <c r="F232" s="79" t="s">
        <v>354</v>
      </c>
      <c r="G232" s="61">
        <v>2514973.8556829132</v>
      </c>
      <c r="H232" s="56">
        <v>-2514974</v>
      </c>
      <c r="I232" s="56"/>
      <c r="J232" s="56">
        <v>0</v>
      </c>
      <c r="K232" s="56">
        <v>0</v>
      </c>
      <c r="L232" s="56">
        <v>0</v>
      </c>
      <c r="M232" s="61">
        <f t="shared" ref="M232:M240" si="51">SUM(G232:L232)</f>
        <v>-0.14431708678603172</v>
      </c>
      <c r="N232" s="183">
        <f>IF(HLOOKUP($E$3,'[1]Current Provision - HYP'!$E$7:$CF$205,'[1]Current Provision - HYP'!$DK$155-6,FALSE)=0,0,(IF(ISNA(HLOOKUP($E$3,'[1]Current Provision - HYP'!$E$7:$CF$205,'[1]Current Provision - HYP'!$DK$155-6,FALSE))=TRUE,0,HLOOKUP($E$3,'[1]Current Provision - HYP'!$E$7:$CF$205,'[1]Current Provision - HYP'!$DK$155-6,FALSE)))/(IF(ISNA(HLOOKUP($E$3,'[1]Current Provision - HYP'!$E$7:$CF$205,'[1]Current Provision - HYP'!$DK$150-6,FALSE))=TRUE,0,HLOOKUP($E$3,'[1]Current Provision - HYP'!$E$7:$CF$205,'[1]Current Provision - HYP'!$DK$150-6,FALSE))))*0</f>
        <v>0</v>
      </c>
      <c r="O232" s="56">
        <v>0</v>
      </c>
      <c r="P232" s="58">
        <v>0</v>
      </c>
      <c r="Q232" s="58">
        <v>0</v>
      </c>
      <c r="R232" s="58">
        <v>0</v>
      </c>
      <c r="S232" s="61">
        <f t="shared" ref="S232:S240" si="52">SUM(M232:R232)</f>
        <v>-0.14431708678603172</v>
      </c>
      <c r="T232" s="56"/>
      <c r="U232" s="63">
        <f t="shared" ref="U232:U240" si="53">S232*G$307*(1-G$306)</f>
        <v>-5.6283663846552374E-3</v>
      </c>
      <c r="V232" s="93" t="s">
        <v>60</v>
      </c>
      <c r="W232" s="64">
        <f t="shared" ref="W232:W240" si="54">U232</f>
        <v>-5.6283663846552374E-3</v>
      </c>
      <c r="Z232" s="11">
        <f>SUM(M232:R232)-S232</f>
        <v>0</v>
      </c>
    </row>
    <row r="233" spans="1:26">
      <c r="A233" s="74" t="s">
        <v>86</v>
      </c>
      <c r="B233" s="75" t="s">
        <v>355</v>
      </c>
      <c r="D233" s="54" t="s">
        <v>324</v>
      </c>
      <c r="E233" s="54" t="s">
        <v>356</v>
      </c>
      <c r="F233" s="84"/>
      <c r="G233" s="61">
        <v>306346</v>
      </c>
      <c r="H233" s="56">
        <f>-1618558+13720344</f>
        <v>12101786</v>
      </c>
      <c r="I233" s="56"/>
      <c r="J233" s="56">
        <v>0</v>
      </c>
      <c r="K233" s="56">
        <v>0</v>
      </c>
      <c r="L233" s="56">
        <v>0</v>
      </c>
      <c r="M233" s="61">
        <f t="shared" si="51"/>
        <v>12408132</v>
      </c>
      <c r="N233" s="56">
        <v>0</v>
      </c>
      <c r="O233" s="56">
        <v>0</v>
      </c>
      <c r="P233" s="58">
        <v>0</v>
      </c>
      <c r="Q233" s="58">
        <v>0</v>
      </c>
      <c r="R233" s="58">
        <v>0</v>
      </c>
      <c r="S233" s="61">
        <f t="shared" si="52"/>
        <v>12408132</v>
      </c>
      <c r="T233" s="56"/>
      <c r="U233" s="63">
        <f t="shared" si="53"/>
        <v>483917.14799999999</v>
      </c>
      <c r="V233" s="93" t="s">
        <v>60</v>
      </c>
      <c r="W233" s="64">
        <f t="shared" si="54"/>
        <v>483917.14799999999</v>
      </c>
      <c r="Z233" s="11">
        <f>SUM(M233:R233)-S233</f>
        <v>0</v>
      </c>
    </row>
    <row r="234" spans="1:26">
      <c r="A234" s="74" t="s">
        <v>86</v>
      </c>
      <c r="B234" s="75" t="s">
        <v>357</v>
      </c>
      <c r="D234" s="54" t="s">
        <v>93</v>
      </c>
      <c r="E234" s="54" t="s">
        <v>358</v>
      </c>
      <c r="F234" s="84"/>
      <c r="G234" s="61">
        <v>22128513.063012227</v>
      </c>
      <c r="H234" s="56">
        <v>801</v>
      </c>
      <c r="I234" s="56"/>
      <c r="J234" s="56">
        <v>0</v>
      </c>
      <c r="K234" s="56">
        <v>0</v>
      </c>
      <c r="L234" s="56">
        <v>0</v>
      </c>
      <c r="M234" s="61">
        <f t="shared" si="51"/>
        <v>22129314.063012227</v>
      </c>
      <c r="N234" s="56">
        <f>(IF(ISNA(HLOOKUP($E$3,'[1]Current Provision - HYP'!$E$7:$BP$205,'[1]Current Provision - HYP'!$DK$141-6,FALSE))=TRUE,0,HLOOKUP($E$3,'[1]Current Provision - HYP'!$E$7:$BP$205,'[1]Current Provision - HYP'!$DK$141-6,FALSE)))</f>
        <v>-895968.49000000022</v>
      </c>
      <c r="O234" s="56">
        <v>0</v>
      </c>
      <c r="P234" s="58">
        <v>0</v>
      </c>
      <c r="Q234" s="58">
        <v>0</v>
      </c>
      <c r="R234" s="58">
        <v>0</v>
      </c>
      <c r="S234" s="61">
        <f t="shared" si="52"/>
        <v>21233345.573012225</v>
      </c>
      <c r="T234" s="56"/>
      <c r="U234" s="63">
        <f t="shared" si="53"/>
        <v>828100.47734747676</v>
      </c>
      <c r="V234" s="93" t="s">
        <v>60</v>
      </c>
      <c r="W234" s="64">
        <f t="shared" si="54"/>
        <v>828100.47734747676</v>
      </c>
      <c r="Z234" s="11">
        <f>SUM(M234:R234)-S234</f>
        <v>0</v>
      </c>
    </row>
    <row r="235" spans="1:26">
      <c r="A235" s="74" t="s">
        <v>86</v>
      </c>
      <c r="B235" s="75" t="s">
        <v>8</v>
      </c>
      <c r="D235" s="54" t="s">
        <v>324</v>
      </c>
      <c r="E235" s="54" t="s">
        <v>359</v>
      </c>
      <c r="F235" s="84"/>
      <c r="G235" s="61">
        <v>0</v>
      </c>
      <c r="H235" s="56">
        <v>0</v>
      </c>
      <c r="I235" s="56"/>
      <c r="J235" s="56">
        <v>0</v>
      </c>
      <c r="K235" s="56">
        <v>0</v>
      </c>
      <c r="L235" s="56">
        <v>0</v>
      </c>
      <c r="M235" s="61">
        <f t="shared" si="51"/>
        <v>0</v>
      </c>
      <c r="N235" s="56">
        <v>0</v>
      </c>
      <c r="O235" s="56">
        <v>0</v>
      </c>
      <c r="P235" s="58">
        <v>0</v>
      </c>
      <c r="Q235" s="58">
        <v>0</v>
      </c>
      <c r="R235" s="58">
        <v>0</v>
      </c>
      <c r="S235" s="61">
        <f t="shared" si="52"/>
        <v>0</v>
      </c>
      <c r="T235" s="56"/>
      <c r="U235" s="63">
        <f t="shared" si="53"/>
        <v>0</v>
      </c>
      <c r="V235" s="93" t="s">
        <v>60</v>
      </c>
      <c r="W235" s="64">
        <f t="shared" si="54"/>
        <v>0</v>
      </c>
      <c r="Z235" s="11">
        <f>SUM(M235:R235)-S235</f>
        <v>0</v>
      </c>
    </row>
    <row r="236" spans="1:26">
      <c r="A236" s="74"/>
      <c r="B236" s="75" t="s">
        <v>789</v>
      </c>
      <c r="E236" s="54" t="s">
        <v>358</v>
      </c>
      <c r="F236" s="84"/>
      <c r="G236" s="61">
        <v>0</v>
      </c>
      <c r="H236" s="56">
        <v>-36281</v>
      </c>
      <c r="I236" s="56"/>
      <c r="J236" s="56">
        <v>0</v>
      </c>
      <c r="K236" s="56">
        <v>0</v>
      </c>
      <c r="L236" s="56">
        <v>0</v>
      </c>
      <c r="M236" s="61">
        <f t="shared" si="51"/>
        <v>-36281</v>
      </c>
      <c r="N236" s="56">
        <v>0</v>
      </c>
      <c r="O236" s="56">
        <v>0</v>
      </c>
      <c r="P236" s="58">
        <v>0</v>
      </c>
      <c r="Q236" s="58">
        <v>0</v>
      </c>
      <c r="R236" s="58">
        <v>0</v>
      </c>
      <c r="S236" s="61">
        <f t="shared" si="52"/>
        <v>-36281</v>
      </c>
      <c r="T236" s="56"/>
      <c r="U236" s="63">
        <f t="shared" si="53"/>
        <v>-1414.9590000000001</v>
      </c>
      <c r="V236" s="93" t="s">
        <v>60</v>
      </c>
      <c r="W236" s="64">
        <f t="shared" si="54"/>
        <v>-1414.9590000000001</v>
      </c>
      <c r="Z236" s="11"/>
    </row>
    <row r="237" spans="1:26">
      <c r="A237" s="74"/>
      <c r="B237" s="75" t="s">
        <v>361</v>
      </c>
      <c r="E237" s="54" t="s">
        <v>359</v>
      </c>
      <c r="F237" s="84"/>
      <c r="G237" s="61">
        <v>0</v>
      </c>
      <c r="H237" s="56">
        <v>0</v>
      </c>
      <c r="I237" s="56"/>
      <c r="J237" s="56">
        <v>0</v>
      </c>
      <c r="K237" s="56">
        <v>0</v>
      </c>
      <c r="L237" s="56">
        <v>0</v>
      </c>
      <c r="M237" s="61">
        <f t="shared" si="51"/>
        <v>0</v>
      </c>
      <c r="N237" s="56">
        <v>0</v>
      </c>
      <c r="O237" s="56">
        <v>0</v>
      </c>
      <c r="P237" s="58">
        <v>0</v>
      </c>
      <c r="Q237" s="58">
        <v>0</v>
      </c>
      <c r="R237" s="58">
        <v>0</v>
      </c>
      <c r="S237" s="61">
        <f t="shared" si="52"/>
        <v>0</v>
      </c>
      <c r="T237" s="56"/>
      <c r="U237" s="63">
        <f t="shared" si="53"/>
        <v>0</v>
      </c>
      <c r="V237" s="93" t="s">
        <v>60</v>
      </c>
      <c r="W237" s="64">
        <f t="shared" si="54"/>
        <v>0</v>
      </c>
      <c r="Z237" s="11"/>
    </row>
    <row r="238" spans="1:26">
      <c r="A238" s="74"/>
      <c r="B238" s="75" t="s">
        <v>362</v>
      </c>
      <c r="E238" s="54" t="s">
        <v>353</v>
      </c>
      <c r="F238" s="84"/>
      <c r="G238" s="61">
        <v>0</v>
      </c>
      <c r="H238" s="56">
        <v>0</v>
      </c>
      <c r="I238" s="56"/>
      <c r="J238" s="263">
        <v>-2514974</v>
      </c>
      <c r="K238" s="56">
        <v>1492112</v>
      </c>
      <c r="L238" s="56">
        <v>0</v>
      </c>
      <c r="M238" s="61">
        <f t="shared" si="51"/>
        <v>-1022862</v>
      </c>
      <c r="N238" s="56">
        <v>0</v>
      </c>
      <c r="O238" s="56">
        <v>0</v>
      </c>
      <c r="P238" s="58">
        <v>0</v>
      </c>
      <c r="Q238" s="58">
        <v>0</v>
      </c>
      <c r="R238" s="58">
        <v>0</v>
      </c>
      <c r="S238" s="61">
        <f t="shared" si="52"/>
        <v>-1022862</v>
      </c>
      <c r="T238" s="56"/>
      <c r="U238" s="63">
        <f t="shared" si="53"/>
        <v>-39891.618000000002</v>
      </c>
      <c r="V238" s="93" t="s">
        <v>60</v>
      </c>
      <c r="W238" s="64">
        <f t="shared" si="54"/>
        <v>-39891.618000000002</v>
      </c>
      <c r="Z238" s="11"/>
    </row>
    <row r="239" spans="1:26">
      <c r="A239" s="74"/>
      <c r="B239" s="59" t="s">
        <v>790</v>
      </c>
      <c r="D239" s="18" t="s">
        <v>93</v>
      </c>
      <c r="E239" s="54" t="s">
        <v>791</v>
      </c>
      <c r="F239" s="84"/>
      <c r="G239" s="61"/>
      <c r="H239" s="56"/>
      <c r="I239" s="56"/>
      <c r="J239" s="263"/>
      <c r="K239" s="56"/>
      <c r="L239" s="56"/>
      <c r="M239" s="61">
        <f t="shared" si="51"/>
        <v>0</v>
      </c>
      <c r="N239" s="56"/>
      <c r="O239" s="56"/>
      <c r="P239" s="58"/>
      <c r="Q239" s="58"/>
      <c r="R239" s="58"/>
      <c r="S239" s="61">
        <f t="shared" si="52"/>
        <v>0</v>
      </c>
      <c r="T239" s="56"/>
      <c r="U239" s="63"/>
      <c r="V239" s="93"/>
      <c r="W239" s="64"/>
      <c r="Z239" s="11"/>
    </row>
    <row r="240" spans="1:26">
      <c r="A240" s="74"/>
      <c r="B240" s="75" t="s">
        <v>98</v>
      </c>
      <c r="F240" s="84"/>
      <c r="G240" s="61">
        <v>0</v>
      </c>
      <c r="H240" s="56">
        <v>0</v>
      </c>
      <c r="I240" s="56"/>
      <c r="J240" s="56">
        <v>0</v>
      </c>
      <c r="K240" s="56">
        <v>0</v>
      </c>
      <c r="L240" s="56">
        <v>0</v>
      </c>
      <c r="M240" s="61">
        <f t="shared" si="51"/>
        <v>0</v>
      </c>
      <c r="N240" s="56">
        <v>0</v>
      </c>
      <c r="O240" s="56">
        <v>0</v>
      </c>
      <c r="P240" s="58">
        <v>0</v>
      </c>
      <c r="Q240" s="58">
        <v>0</v>
      </c>
      <c r="R240" s="58">
        <v>0</v>
      </c>
      <c r="S240" s="61">
        <f t="shared" si="52"/>
        <v>0</v>
      </c>
      <c r="T240" s="56"/>
      <c r="U240" s="63">
        <f t="shared" si="53"/>
        <v>0</v>
      </c>
      <c r="V240" s="93" t="s">
        <v>60</v>
      </c>
      <c r="W240" s="64">
        <f t="shared" si="54"/>
        <v>0</v>
      </c>
      <c r="Z240" s="11"/>
    </row>
    <row r="241" spans="1:26">
      <c r="A241" s="68" t="s">
        <v>349</v>
      </c>
      <c r="B241" s="68"/>
      <c r="C241" s="69"/>
      <c r="D241" s="69"/>
      <c r="E241" s="69"/>
      <c r="F241" s="70" t="s">
        <v>363</v>
      </c>
      <c r="G241" s="71">
        <f>SUM(G231:G240)</f>
        <v>24949832.918695141</v>
      </c>
      <c r="H241" s="71">
        <f t="shared" ref="H241:S241" si="55">SUM(H231:H240)</f>
        <v>9551332</v>
      </c>
      <c r="I241" s="71">
        <f t="shared" si="55"/>
        <v>0</v>
      </c>
      <c r="J241" s="71">
        <f t="shared" si="55"/>
        <v>-2514974</v>
      </c>
      <c r="K241" s="71">
        <f t="shared" si="55"/>
        <v>1492112</v>
      </c>
      <c r="L241" s="71">
        <f t="shared" si="55"/>
        <v>0</v>
      </c>
      <c r="M241" s="71">
        <f t="shared" si="55"/>
        <v>33478302.918695137</v>
      </c>
      <c r="N241" s="71">
        <f t="shared" si="55"/>
        <v>-895968.49000000022</v>
      </c>
      <c r="O241" s="71">
        <f t="shared" si="55"/>
        <v>0</v>
      </c>
      <c r="P241" s="71">
        <f t="shared" si="55"/>
        <v>0</v>
      </c>
      <c r="Q241" s="71">
        <f t="shared" si="55"/>
        <v>0</v>
      </c>
      <c r="R241" s="71">
        <f t="shared" si="55"/>
        <v>0</v>
      </c>
      <c r="S241" s="71">
        <f t="shared" si="55"/>
        <v>32582334.428695142</v>
      </c>
      <c r="T241" s="71"/>
      <c r="U241" s="71">
        <f>SUM(U231:U240)</f>
        <v>1270711.0427191104</v>
      </c>
      <c r="V241" s="71">
        <f>SUM(V231:V240)</f>
        <v>0</v>
      </c>
      <c r="W241" s="71">
        <f>SUM(W231:W240)</f>
        <v>1270711.0427191104</v>
      </c>
      <c r="Z241" s="11">
        <f>SUM(M241:R241)-S241</f>
        <v>0</v>
      </c>
    </row>
    <row r="242" spans="1:26" ht="15">
      <c r="A242" s="59"/>
      <c r="B242" s="59"/>
      <c r="C242" s="65"/>
      <c r="D242" s="65"/>
      <c r="E242" s="65"/>
      <c r="F242" s="66"/>
      <c r="G242" s="56"/>
      <c r="H242" s="56"/>
      <c r="I242" s="56"/>
      <c r="J242" s="56"/>
      <c r="K242" s="56"/>
      <c r="L242" s="56"/>
      <c r="M242" s="73" t="str">
        <f>IF(SUM(G241:L241)=M241,"CF","ERROR CF")</f>
        <v>CF</v>
      </c>
      <c r="N242" s="56"/>
      <c r="O242" s="56"/>
      <c r="P242" s="56"/>
      <c r="Q242" s="56"/>
      <c r="R242" s="56"/>
      <c r="S242" s="73" t="str">
        <f>IF(SUM(M241:R241)=S241,"CF","ERROR CF")</f>
        <v>CF</v>
      </c>
      <c r="T242" s="56"/>
      <c r="U242" s="304" t="s">
        <v>364</v>
      </c>
      <c r="V242" s="304"/>
      <c r="W242" s="304"/>
      <c r="X242" s="11"/>
      <c r="Y242" s="94"/>
      <c r="Z242" s="11"/>
    </row>
    <row r="243" spans="1:26">
      <c r="A243" s="59"/>
      <c r="B243" s="59"/>
      <c r="C243" s="65"/>
      <c r="D243" s="65"/>
      <c r="E243" s="65"/>
      <c r="F243" s="6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64"/>
      <c r="Z243" s="11"/>
    </row>
    <row r="244" spans="1:26">
      <c r="A244" s="306" t="s">
        <v>365</v>
      </c>
      <c r="B244" s="306"/>
      <c r="C244" s="306"/>
      <c r="D244" s="306"/>
      <c r="E244" s="306"/>
      <c r="F244" s="66"/>
      <c r="G244" s="56"/>
      <c r="H244" s="56"/>
      <c r="I244" s="56"/>
      <c r="J244" s="56"/>
      <c r="K244" s="56"/>
      <c r="L244" s="56"/>
      <c r="N244" s="56"/>
      <c r="O244" s="56"/>
      <c r="P244" s="56"/>
      <c r="Q244" s="56"/>
      <c r="R244" s="56"/>
      <c r="T244" s="56"/>
      <c r="U244" s="56"/>
      <c r="V244" s="56"/>
      <c r="W244" s="64"/>
      <c r="Z244" s="11"/>
    </row>
    <row r="245" spans="1:26">
      <c r="A245" s="59" t="s">
        <v>366</v>
      </c>
      <c r="B245" s="59"/>
      <c r="C245" s="65"/>
      <c r="D245" s="65"/>
      <c r="E245" s="65"/>
      <c r="F245" s="66" t="s">
        <v>367</v>
      </c>
      <c r="G245" s="95">
        <f t="shared" ref="G245:S245" si="56">G32+G175+G195+G204+G229+G241</f>
        <v>-129454895.60337321</v>
      </c>
      <c r="H245" s="61">
        <f t="shared" si="56"/>
        <v>16613268.737349581</v>
      </c>
      <c r="I245" s="61">
        <f t="shared" si="56"/>
        <v>0</v>
      </c>
      <c r="J245" s="61">
        <f t="shared" si="56"/>
        <v>609759</v>
      </c>
      <c r="K245" s="61">
        <f t="shared" si="56"/>
        <v>-432056</v>
      </c>
      <c r="L245" s="61">
        <f t="shared" si="56"/>
        <v>0</v>
      </c>
      <c r="M245" s="61">
        <f t="shared" si="56"/>
        <v>-112663923.86602364</v>
      </c>
      <c r="N245" s="61">
        <f t="shared" si="56"/>
        <v>-8549443.5938881896</v>
      </c>
      <c r="O245" s="61">
        <f t="shared" si="56"/>
        <v>300598.04999999993</v>
      </c>
      <c r="P245" s="61">
        <f t="shared" si="56"/>
        <v>-84797.040000000008</v>
      </c>
      <c r="Q245" s="61">
        <f t="shared" si="56"/>
        <v>0</v>
      </c>
      <c r="R245" s="61">
        <f t="shared" si="56"/>
        <v>1720246</v>
      </c>
      <c r="S245" s="61">
        <f t="shared" si="56"/>
        <v>-119277320.44991177</v>
      </c>
      <c r="T245" s="56"/>
      <c r="U245" s="56"/>
      <c r="V245" s="56"/>
      <c r="W245" s="64"/>
      <c r="Z245" s="11">
        <f>SUM(M245:R245)-S245</f>
        <v>0</v>
      </c>
    </row>
    <row r="246" spans="1:26">
      <c r="A246" s="59" t="s">
        <v>368</v>
      </c>
      <c r="B246" s="59"/>
      <c r="C246" s="65"/>
      <c r="D246" s="65"/>
      <c r="E246" s="65"/>
      <c r="F246" s="66" t="s">
        <v>369</v>
      </c>
      <c r="G246" s="96">
        <f>$H307</f>
        <v>0.06</v>
      </c>
      <c r="H246" s="97">
        <f>$H307</f>
        <v>0.06</v>
      </c>
      <c r="I246" s="97">
        <f>I307</f>
        <v>0</v>
      </c>
      <c r="J246" s="97">
        <f>$H307</f>
        <v>0.06</v>
      </c>
      <c r="K246" s="97">
        <f t="shared" ref="K246:S246" si="57">$G307</f>
        <v>0.06</v>
      </c>
      <c r="L246" s="97">
        <f t="shared" si="57"/>
        <v>0.06</v>
      </c>
      <c r="M246" s="97">
        <f t="shared" si="57"/>
        <v>0.06</v>
      </c>
      <c r="N246" s="97">
        <f t="shared" si="57"/>
        <v>0.06</v>
      </c>
      <c r="O246" s="97">
        <f t="shared" si="57"/>
        <v>0.06</v>
      </c>
      <c r="P246" s="97">
        <f t="shared" si="57"/>
        <v>0.06</v>
      </c>
      <c r="Q246" s="97">
        <f t="shared" si="57"/>
        <v>0.06</v>
      </c>
      <c r="R246" s="97">
        <f t="shared" si="57"/>
        <v>0.06</v>
      </c>
      <c r="S246" s="97">
        <f t="shared" si="57"/>
        <v>0.06</v>
      </c>
      <c r="T246" s="56"/>
      <c r="U246" s="56"/>
      <c r="V246" s="56"/>
      <c r="W246" s="64"/>
      <c r="Z246" s="11"/>
    </row>
    <row r="247" spans="1:26">
      <c r="A247" s="98" t="s">
        <v>370</v>
      </c>
      <c r="B247" s="98"/>
      <c r="C247" s="99"/>
      <c r="D247" s="99"/>
      <c r="E247" s="99"/>
      <c r="F247" s="100" t="s">
        <v>371</v>
      </c>
      <c r="G247" s="101">
        <f>G245*G246</f>
        <v>-7767293.7362023927</v>
      </c>
      <c r="H247" s="101">
        <f>H245*H246</f>
        <v>996796.12424097478</v>
      </c>
      <c r="I247" s="101">
        <f>SUM(G245+H245+J245)*I246</f>
        <v>0</v>
      </c>
      <c r="J247" s="101">
        <f t="shared" ref="J247:S247" si="58">J245*J246</f>
        <v>36585.54</v>
      </c>
      <c r="K247" s="101">
        <f t="shared" si="58"/>
        <v>-25923.360000000001</v>
      </c>
      <c r="L247" s="101">
        <f>L245*L246</f>
        <v>0</v>
      </c>
      <c r="M247" s="101">
        <f t="shared" si="58"/>
        <v>-6759835.4319614181</v>
      </c>
      <c r="N247" s="101">
        <f t="shared" si="58"/>
        <v>-512966.61563329137</v>
      </c>
      <c r="O247" s="101">
        <f t="shared" si="58"/>
        <v>18035.882999999994</v>
      </c>
      <c r="P247" s="101">
        <f t="shared" si="58"/>
        <v>-5087.8224</v>
      </c>
      <c r="Q247" s="101">
        <f t="shared" si="58"/>
        <v>0</v>
      </c>
      <c r="R247" s="101">
        <f t="shared" si="58"/>
        <v>103214.76</v>
      </c>
      <c r="S247" s="101">
        <f t="shared" si="58"/>
        <v>-7156639.2269947063</v>
      </c>
      <c r="T247" s="56"/>
      <c r="U247" s="56"/>
      <c r="V247" s="56"/>
      <c r="W247" s="64"/>
      <c r="Z247" s="11">
        <f>SUM(M247:R247)-S247</f>
        <v>0</v>
      </c>
    </row>
    <row r="248" spans="1:26">
      <c r="A248" s="59"/>
      <c r="B248" s="59"/>
      <c r="C248" s="65"/>
      <c r="D248" s="65"/>
      <c r="E248" s="65"/>
      <c r="F248" s="66"/>
      <c r="G248" s="56"/>
      <c r="H248" s="56"/>
      <c r="I248" s="102" t="s">
        <v>372</v>
      </c>
      <c r="J248" s="56"/>
      <c r="K248" s="103" t="s">
        <v>373</v>
      </c>
      <c r="L248" s="103" t="s">
        <v>374</v>
      </c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64"/>
      <c r="Z248" s="11"/>
    </row>
    <row r="249" spans="1:26">
      <c r="A249" s="306" t="s">
        <v>375</v>
      </c>
      <c r="B249" s="306"/>
      <c r="C249" s="306"/>
      <c r="D249" s="306"/>
      <c r="E249" s="306"/>
      <c r="F249" s="6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64"/>
      <c r="Z249" s="11"/>
    </row>
    <row r="250" spans="1:26">
      <c r="A250" s="59" t="s">
        <v>376</v>
      </c>
      <c r="B250" s="59"/>
      <c r="C250" s="65"/>
      <c r="D250" s="65" t="s">
        <v>315</v>
      </c>
      <c r="E250" s="65" t="s">
        <v>316</v>
      </c>
      <c r="F250" s="79" t="s">
        <v>377</v>
      </c>
      <c r="G250" s="61">
        <v>0</v>
      </c>
      <c r="H250" s="62">
        <v>0</v>
      </c>
      <c r="I250" s="56"/>
      <c r="J250" s="62">
        <v>0</v>
      </c>
      <c r="K250" s="56">
        <v>0</v>
      </c>
      <c r="L250" s="56">
        <v>0</v>
      </c>
      <c r="M250" s="61">
        <f>SUM(G250:L250)</f>
        <v>0</v>
      </c>
      <c r="N250" s="56">
        <v>0</v>
      </c>
      <c r="O250" s="56">
        <v>0</v>
      </c>
      <c r="P250" s="58">
        <v>0</v>
      </c>
      <c r="Q250" s="58">
        <v>0</v>
      </c>
      <c r="R250" s="58">
        <v>0</v>
      </c>
      <c r="S250" s="61">
        <f>SUM(M250:R250)</f>
        <v>0</v>
      </c>
      <c r="T250" s="56"/>
      <c r="U250" s="63">
        <f>IF(S250&gt;0,S250*(1-G306),0)</f>
        <v>0</v>
      </c>
      <c r="V250" s="93" t="s">
        <v>60</v>
      </c>
      <c r="W250" s="64">
        <f>U250</f>
        <v>0</v>
      </c>
      <c r="Z250" s="11">
        <f>SUM(M250:R250)-S250</f>
        <v>0</v>
      </c>
    </row>
    <row r="251" spans="1:26">
      <c r="A251" s="59" t="s">
        <v>8</v>
      </c>
      <c r="B251" s="59"/>
      <c r="C251" s="65"/>
      <c r="D251" s="65" t="s">
        <v>324</v>
      </c>
      <c r="E251" s="65" t="s">
        <v>378</v>
      </c>
      <c r="F251" s="66"/>
      <c r="G251" s="61">
        <v>0</v>
      </c>
      <c r="H251" s="62">
        <v>0</v>
      </c>
      <c r="I251" s="56"/>
      <c r="J251" s="62">
        <v>0</v>
      </c>
      <c r="K251" s="56">
        <v>0</v>
      </c>
      <c r="L251" s="56">
        <v>0</v>
      </c>
      <c r="M251" s="61">
        <f>SUM(G251:L251)</f>
        <v>0</v>
      </c>
      <c r="N251" s="56">
        <v>0</v>
      </c>
      <c r="O251" s="56">
        <v>0</v>
      </c>
      <c r="P251" s="58">
        <v>0</v>
      </c>
      <c r="Q251" s="58">
        <v>0</v>
      </c>
      <c r="R251" s="58">
        <v>0</v>
      </c>
      <c r="S251" s="61">
        <f>SUM(M251:R251)</f>
        <v>0</v>
      </c>
      <c r="T251" s="56"/>
      <c r="U251" s="63">
        <f>IF(S251&gt;0,S251*$H$309,0)</f>
        <v>0</v>
      </c>
      <c r="V251" s="93">
        <v>0</v>
      </c>
      <c r="W251" s="64">
        <f>U251</f>
        <v>0</v>
      </c>
      <c r="Z251" s="11">
        <f>SUM(M251:R251)-S251</f>
        <v>0</v>
      </c>
    </row>
    <row r="252" spans="1:26">
      <c r="A252" s="59" t="s">
        <v>8</v>
      </c>
      <c r="B252" s="59"/>
      <c r="C252" s="65"/>
      <c r="D252" s="65" t="s">
        <v>324</v>
      </c>
      <c r="E252" s="65" t="s">
        <v>356</v>
      </c>
      <c r="F252" s="66"/>
      <c r="G252" s="61">
        <v>0</v>
      </c>
      <c r="H252" s="62">
        <v>0</v>
      </c>
      <c r="I252" s="56"/>
      <c r="J252" s="62">
        <v>0</v>
      </c>
      <c r="K252" s="56">
        <v>0</v>
      </c>
      <c r="L252" s="56">
        <v>0</v>
      </c>
      <c r="M252" s="61">
        <f>SUM(G252:L252)</f>
        <v>0</v>
      </c>
      <c r="N252" s="56">
        <v>0</v>
      </c>
      <c r="O252" s="56">
        <v>0</v>
      </c>
      <c r="P252" s="58">
        <v>0</v>
      </c>
      <c r="Q252" s="58">
        <v>0</v>
      </c>
      <c r="R252" s="58">
        <v>0</v>
      </c>
      <c r="S252" s="61">
        <f>SUM(M252:R252)</f>
        <v>0</v>
      </c>
      <c r="T252" s="56"/>
      <c r="U252" s="63">
        <f>IF(S252&gt;0,S252*$H$309,0)</f>
        <v>0</v>
      </c>
      <c r="V252" s="93" t="s">
        <v>60</v>
      </c>
      <c r="W252" s="64">
        <f>U252</f>
        <v>0</v>
      </c>
      <c r="Z252" s="11">
        <f>SUM(M252:R252)-S252</f>
        <v>0</v>
      </c>
    </row>
    <row r="253" spans="1:26">
      <c r="A253" s="59" t="s">
        <v>98</v>
      </c>
      <c r="B253" s="59"/>
      <c r="C253" s="65"/>
      <c r="D253" s="65"/>
      <c r="E253" s="65"/>
      <c r="F253" s="66"/>
      <c r="G253" s="61">
        <v>0</v>
      </c>
      <c r="H253" s="62">
        <v>0</v>
      </c>
      <c r="I253" s="56"/>
      <c r="J253" s="62">
        <v>0</v>
      </c>
      <c r="K253" s="56">
        <v>0</v>
      </c>
      <c r="L253" s="56">
        <v>0</v>
      </c>
      <c r="M253" s="61">
        <f>SUM(G253:L253)</f>
        <v>0</v>
      </c>
      <c r="N253" s="56">
        <v>0</v>
      </c>
      <c r="O253" s="56">
        <v>0</v>
      </c>
      <c r="P253" s="58">
        <v>0</v>
      </c>
      <c r="Q253" s="58">
        <v>0</v>
      </c>
      <c r="R253" s="58">
        <v>0</v>
      </c>
      <c r="S253" s="61">
        <f>SUM(M253:P253)</f>
        <v>0</v>
      </c>
      <c r="T253" s="56"/>
      <c r="U253" s="63">
        <f>IF(S253&gt;0,S253*$H$309,0)</f>
        <v>0</v>
      </c>
      <c r="V253" s="93" t="s">
        <v>60</v>
      </c>
      <c r="W253" s="64">
        <f>U253</f>
        <v>0</v>
      </c>
      <c r="Z253" s="11"/>
    </row>
    <row r="254" spans="1:26">
      <c r="A254" s="59" t="s">
        <v>98</v>
      </c>
      <c r="B254" s="59"/>
      <c r="C254" s="65"/>
      <c r="D254" s="65"/>
      <c r="E254" s="65"/>
      <c r="F254" s="66"/>
      <c r="G254" s="61">
        <v>0</v>
      </c>
      <c r="H254" s="62">
        <v>0</v>
      </c>
      <c r="I254" s="56"/>
      <c r="J254" s="62">
        <v>0</v>
      </c>
      <c r="K254" s="56">
        <v>0</v>
      </c>
      <c r="L254" s="56">
        <v>0</v>
      </c>
      <c r="M254" s="61">
        <f>SUM(G254:L254)</f>
        <v>0</v>
      </c>
      <c r="N254" s="56">
        <v>0</v>
      </c>
      <c r="O254" s="56">
        <v>0</v>
      </c>
      <c r="P254" s="58">
        <v>0</v>
      </c>
      <c r="Q254" s="58">
        <v>0</v>
      </c>
      <c r="R254" s="58">
        <v>0</v>
      </c>
      <c r="S254" s="61">
        <f>SUM(M254:P254)</f>
        <v>0</v>
      </c>
      <c r="T254" s="56"/>
      <c r="U254" s="63">
        <f>IF(S254&gt;0,S254*$H$309,0)</f>
        <v>0</v>
      </c>
      <c r="V254" s="93" t="s">
        <v>60</v>
      </c>
      <c r="W254" s="64">
        <f>U254</f>
        <v>0</v>
      </c>
      <c r="Z254" s="11"/>
    </row>
    <row r="255" spans="1:26">
      <c r="A255" s="68" t="s">
        <v>379</v>
      </c>
      <c r="B255" s="68"/>
      <c r="C255" s="69"/>
      <c r="D255" s="69"/>
      <c r="E255" s="69"/>
      <c r="F255" s="70" t="s">
        <v>380</v>
      </c>
      <c r="G255" s="71">
        <f>SUM(G250:G254)</f>
        <v>0</v>
      </c>
      <c r="H255" s="71">
        <f t="shared" ref="H255:S255" si="59">SUM(H250:H254)</f>
        <v>0</v>
      </c>
      <c r="I255" s="71">
        <f t="shared" si="59"/>
        <v>0</v>
      </c>
      <c r="J255" s="71">
        <f t="shared" si="59"/>
        <v>0</v>
      </c>
      <c r="K255" s="71">
        <f t="shared" si="59"/>
        <v>0</v>
      </c>
      <c r="L255" s="71">
        <f t="shared" si="59"/>
        <v>0</v>
      </c>
      <c r="M255" s="71">
        <f t="shared" si="59"/>
        <v>0</v>
      </c>
      <c r="N255" s="71">
        <f t="shared" si="59"/>
        <v>0</v>
      </c>
      <c r="O255" s="71">
        <f t="shared" si="59"/>
        <v>0</v>
      </c>
      <c r="P255" s="71">
        <f t="shared" si="59"/>
        <v>0</v>
      </c>
      <c r="Q255" s="71">
        <f t="shared" si="59"/>
        <v>0</v>
      </c>
      <c r="R255" s="71">
        <f t="shared" si="59"/>
        <v>0</v>
      </c>
      <c r="S255" s="71">
        <f t="shared" si="59"/>
        <v>0</v>
      </c>
      <c r="T255" s="56"/>
      <c r="U255" s="71">
        <f>SUM(U250:U254)</f>
        <v>0</v>
      </c>
      <c r="V255" s="71">
        <f>SUM(V250:V254)</f>
        <v>0</v>
      </c>
      <c r="W255" s="71">
        <f>SUM(W250:W254)</f>
        <v>0</v>
      </c>
      <c r="Z255" s="11">
        <f>SUM(M255:R255)-S255</f>
        <v>0</v>
      </c>
    </row>
    <row r="256" spans="1:26" ht="15">
      <c r="A256" s="59"/>
      <c r="B256" s="59"/>
      <c r="C256" s="65"/>
      <c r="D256" s="65"/>
      <c r="E256" s="65"/>
      <c r="F256" s="6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304" t="s">
        <v>381</v>
      </c>
      <c r="V256" s="304"/>
      <c r="W256" s="304"/>
      <c r="Z256" s="11"/>
    </row>
    <row r="257" spans="1:26">
      <c r="A257" s="59" t="s">
        <v>382</v>
      </c>
      <c r="B257" s="59"/>
      <c r="C257" s="65"/>
      <c r="D257" s="65"/>
      <c r="E257" s="65"/>
      <c r="F257" s="66"/>
      <c r="G257" s="56">
        <f t="shared" ref="G257:L257" si="60">G247+G255</f>
        <v>-7767293.7362023927</v>
      </c>
      <c r="H257" s="56">
        <f t="shared" si="60"/>
        <v>996796.12424097478</v>
      </c>
      <c r="I257" s="56">
        <f t="shared" si="60"/>
        <v>0</v>
      </c>
      <c r="J257" s="56">
        <f t="shared" si="60"/>
        <v>36585.54</v>
      </c>
      <c r="K257" s="56">
        <f t="shared" si="60"/>
        <v>-25923.360000000001</v>
      </c>
      <c r="L257" s="56">
        <f t="shared" si="60"/>
        <v>0</v>
      </c>
      <c r="M257" s="61">
        <f>SUM(G257:L257)</f>
        <v>-6759835.4319614181</v>
      </c>
      <c r="N257" s="56">
        <f>N247+N255</f>
        <v>-512966.61563329137</v>
      </c>
      <c r="O257" s="56">
        <f>O247+O255</f>
        <v>18035.882999999994</v>
      </c>
      <c r="P257" s="56">
        <f>P247+P255</f>
        <v>-5087.8224</v>
      </c>
      <c r="Q257" s="56">
        <f>Q247+Q255</f>
        <v>0</v>
      </c>
      <c r="R257" s="56">
        <f>R247+R255</f>
        <v>103214.76</v>
      </c>
      <c r="S257" s="61">
        <f>SUM(M257:R257)</f>
        <v>-7156639.2269947091</v>
      </c>
      <c r="T257" s="56"/>
      <c r="U257" s="18"/>
      <c r="V257" s="18"/>
      <c r="W257" s="18"/>
      <c r="Z257" s="11"/>
    </row>
    <row r="258" spans="1:26">
      <c r="A258" s="59" t="s">
        <v>383</v>
      </c>
      <c r="B258" s="59"/>
      <c r="C258" s="65"/>
      <c r="D258" s="65"/>
      <c r="E258" s="65" t="s">
        <v>345</v>
      </c>
      <c r="F258" s="66"/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61">
        <f>SUM(G258:L258)</f>
        <v>0</v>
      </c>
      <c r="N258" s="56">
        <v>0</v>
      </c>
      <c r="O258" s="56">
        <v>0</v>
      </c>
      <c r="P258" s="56">
        <v>0</v>
      </c>
      <c r="Q258" s="56">
        <v>0</v>
      </c>
      <c r="R258" s="56">
        <v>0</v>
      </c>
      <c r="S258" s="61">
        <f>SUM(M258:R258)</f>
        <v>0</v>
      </c>
      <c r="T258" s="56"/>
      <c r="U258" s="63">
        <f>IF(S258&gt;0,S258*(1-$G$306),0)</f>
        <v>0</v>
      </c>
      <c r="V258" s="56">
        <f>IF(S258&lt;0,-S258*(1-$G$306),0)</f>
        <v>0</v>
      </c>
      <c r="W258" s="64">
        <f>U258-V258</f>
        <v>0</v>
      </c>
      <c r="Z258" s="11">
        <f>SUM(M258:R258)-S258</f>
        <v>0</v>
      </c>
    </row>
    <row r="259" spans="1:26">
      <c r="A259" s="98" t="s">
        <v>384</v>
      </c>
      <c r="B259" s="98"/>
      <c r="C259" s="99"/>
      <c r="D259" s="99"/>
      <c r="E259" s="99"/>
      <c r="F259" s="100"/>
      <c r="G259" s="101">
        <f t="shared" ref="G259:S259" si="61">SUM(G257:G258)</f>
        <v>-7767293.7362023927</v>
      </c>
      <c r="H259" s="101">
        <f t="shared" si="61"/>
        <v>996796.12424097478</v>
      </c>
      <c r="I259" s="101">
        <f t="shared" si="61"/>
        <v>0</v>
      </c>
      <c r="J259" s="101">
        <f t="shared" si="61"/>
        <v>36585.54</v>
      </c>
      <c r="K259" s="101">
        <f t="shared" si="61"/>
        <v>-25923.360000000001</v>
      </c>
      <c r="L259" s="101">
        <f t="shared" si="61"/>
        <v>0</v>
      </c>
      <c r="M259" s="101">
        <f t="shared" si="61"/>
        <v>-6759835.4319614181</v>
      </c>
      <c r="N259" s="101">
        <f t="shared" si="61"/>
        <v>-512966.61563329137</v>
      </c>
      <c r="O259" s="101">
        <f t="shared" si="61"/>
        <v>18035.882999999994</v>
      </c>
      <c r="P259" s="101">
        <f t="shared" si="61"/>
        <v>-5087.8224</v>
      </c>
      <c r="Q259" s="101">
        <f t="shared" si="61"/>
        <v>0</v>
      </c>
      <c r="R259" s="101">
        <f t="shared" si="61"/>
        <v>103214.76</v>
      </c>
      <c r="S259" s="101">
        <f t="shared" si="61"/>
        <v>-7156639.2269947091</v>
      </c>
      <c r="T259" s="56"/>
      <c r="U259" s="71">
        <f>SUM(U258:U258)</f>
        <v>0</v>
      </c>
      <c r="V259" s="71">
        <f>SUM(V258:V258)</f>
        <v>0</v>
      </c>
      <c r="W259" s="71">
        <f>SUM(W258:W258)</f>
        <v>0</v>
      </c>
      <c r="Z259" s="11">
        <f>SUM(M259:R259)-S259</f>
        <v>0</v>
      </c>
    </row>
    <row r="260" spans="1:26">
      <c r="A260" s="59"/>
      <c r="B260" s="59"/>
      <c r="C260" s="65"/>
      <c r="D260" s="65"/>
      <c r="E260" s="65"/>
      <c r="F260" s="6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18"/>
      <c r="V260" s="18"/>
      <c r="W260" s="18"/>
      <c r="Z260" s="11"/>
    </row>
    <row r="261" spans="1:26">
      <c r="A261" s="59" t="s">
        <v>385</v>
      </c>
      <c r="B261" s="104"/>
      <c r="C261" s="65"/>
      <c r="D261" s="65"/>
      <c r="E261" s="65"/>
      <c r="F261" s="66" t="s">
        <v>386</v>
      </c>
      <c r="G261" s="56">
        <f t="shared" ref="G261:P261" si="62">G32+G175+G195+G204+G218+G229</f>
        <v>-153125819.53017309</v>
      </c>
      <c r="H261" s="56">
        <f t="shared" si="62"/>
        <v>8040983.0585103501</v>
      </c>
      <c r="I261" s="56">
        <f t="shared" si="62"/>
        <v>0</v>
      </c>
      <c r="J261" s="56">
        <f t="shared" si="62"/>
        <v>4795780.5714285709</v>
      </c>
      <c r="K261" s="56">
        <f t="shared" si="62"/>
        <v>-1950091</v>
      </c>
      <c r="L261" s="56">
        <f>L32+L175+L195+L204+L218+L229</f>
        <v>0</v>
      </c>
      <c r="M261" s="61">
        <f t="shared" si="62"/>
        <v>-142239146.90023419</v>
      </c>
      <c r="N261" s="56">
        <f t="shared" si="62"/>
        <v>-7653475.1038881885</v>
      </c>
      <c r="O261" s="56">
        <f t="shared" si="62"/>
        <v>300598.04999999993</v>
      </c>
      <c r="P261" s="56">
        <f t="shared" si="62"/>
        <v>-84797.040000000008</v>
      </c>
      <c r="Q261" s="56"/>
      <c r="R261" s="56">
        <f>R32+R175+R195+R204+R218+R229</f>
        <v>1823461</v>
      </c>
      <c r="S261" s="56">
        <f>S32+S175+S195+S204+S218+S229</f>
        <v>-147853359.99412233</v>
      </c>
      <c r="T261" s="56"/>
      <c r="U261" s="56"/>
      <c r="V261" s="56"/>
      <c r="W261" s="64"/>
      <c r="Z261" s="11">
        <f>SUM(M261:R261)-S261</f>
        <v>0</v>
      </c>
    </row>
    <row r="262" spans="1:26">
      <c r="A262" s="59" t="s">
        <v>387</v>
      </c>
      <c r="B262" s="59"/>
      <c r="C262" s="65"/>
      <c r="D262" s="65"/>
      <c r="E262" s="65"/>
      <c r="F262" s="66" t="s">
        <v>388</v>
      </c>
      <c r="G262" s="56">
        <f>-G259</f>
        <v>7767293.7362023927</v>
      </c>
      <c r="H262" s="56">
        <f t="shared" ref="H262:S262" si="63">-H259</f>
        <v>-996796.12424097478</v>
      </c>
      <c r="I262" s="56">
        <f t="shared" si="63"/>
        <v>0</v>
      </c>
      <c r="J262" s="56">
        <f t="shared" si="63"/>
        <v>-36585.54</v>
      </c>
      <c r="K262" s="56">
        <f t="shared" si="63"/>
        <v>25923.360000000001</v>
      </c>
      <c r="L262" s="56">
        <f t="shared" si="63"/>
        <v>0</v>
      </c>
      <c r="M262" s="61">
        <f t="shared" si="63"/>
        <v>6759835.4319614181</v>
      </c>
      <c r="N262" s="56">
        <f t="shared" si="63"/>
        <v>512966.61563329137</v>
      </c>
      <c r="O262" s="56">
        <f t="shared" si="63"/>
        <v>-18035.882999999994</v>
      </c>
      <c r="P262" s="56">
        <f t="shared" si="63"/>
        <v>5087.8224</v>
      </c>
      <c r="Q262" s="56">
        <f t="shared" si="63"/>
        <v>0</v>
      </c>
      <c r="R262" s="56">
        <f t="shared" si="63"/>
        <v>-103214.76</v>
      </c>
      <c r="S262" s="56">
        <f t="shared" si="63"/>
        <v>7156639.2269947091</v>
      </c>
      <c r="T262" s="56"/>
      <c r="U262" s="56"/>
      <c r="V262" s="56"/>
      <c r="W262" s="64"/>
      <c r="Z262" s="11">
        <f>SUM(M262:R262)-S262</f>
        <v>0</v>
      </c>
    </row>
    <row r="263" spans="1:26">
      <c r="A263" s="59" t="s">
        <v>389</v>
      </c>
      <c r="B263" s="59"/>
      <c r="C263" s="65"/>
      <c r="D263" s="65"/>
      <c r="E263" s="65"/>
      <c r="F263" s="66" t="s">
        <v>390</v>
      </c>
      <c r="G263" s="56">
        <f t="shared" ref="G263:P263" si="64">SUM(G261:G262)</f>
        <v>-145358525.7939707</v>
      </c>
      <c r="H263" s="56">
        <f t="shared" si="64"/>
        <v>7044186.9342693752</v>
      </c>
      <c r="I263" s="56">
        <f t="shared" si="64"/>
        <v>0</v>
      </c>
      <c r="J263" s="56">
        <f t="shared" si="64"/>
        <v>4759195.0314285709</v>
      </c>
      <c r="K263" s="56">
        <f t="shared" si="64"/>
        <v>-1924167.64</v>
      </c>
      <c r="L263" s="56">
        <f t="shared" si="64"/>
        <v>0</v>
      </c>
      <c r="M263" s="56">
        <f t="shared" si="64"/>
        <v>-135479311.46827278</v>
      </c>
      <c r="N263" s="56">
        <f t="shared" si="64"/>
        <v>-7140508.4882548973</v>
      </c>
      <c r="O263" s="56">
        <f t="shared" si="64"/>
        <v>282562.16699999996</v>
      </c>
      <c r="P263" s="56">
        <f t="shared" si="64"/>
        <v>-79709.217600000004</v>
      </c>
      <c r="Q263" s="56"/>
      <c r="R263" s="56">
        <f>SUM(R261:R262)</f>
        <v>1720246.24</v>
      </c>
      <c r="S263" s="56">
        <f>SUM(S261:S262)</f>
        <v>-140696720.7671276</v>
      </c>
      <c r="T263" s="56"/>
      <c r="U263" s="56"/>
      <c r="V263" s="56"/>
      <c r="W263" s="64"/>
      <c r="Z263" s="11">
        <f>SUM(M263:R263)-S263</f>
        <v>0</v>
      </c>
    </row>
    <row r="264" spans="1:26">
      <c r="A264" s="59" t="s">
        <v>391</v>
      </c>
      <c r="B264" s="59"/>
      <c r="C264" s="65"/>
      <c r="D264" s="65"/>
      <c r="E264" s="65"/>
      <c r="F264" s="66" t="s">
        <v>392</v>
      </c>
      <c r="G264" s="97">
        <f>$G306</f>
        <v>0.35</v>
      </c>
      <c r="H264" s="97">
        <f>$G306</f>
        <v>0.35</v>
      </c>
      <c r="I264" s="97">
        <v>0.35</v>
      </c>
      <c r="J264" s="97">
        <f t="shared" ref="J264:S264" si="65">$G306</f>
        <v>0.35</v>
      </c>
      <c r="K264" s="97">
        <f t="shared" si="65"/>
        <v>0.35</v>
      </c>
      <c r="L264" s="97">
        <f t="shared" si="65"/>
        <v>0.35</v>
      </c>
      <c r="M264" s="97">
        <f t="shared" si="65"/>
        <v>0.35</v>
      </c>
      <c r="N264" s="97">
        <f t="shared" si="65"/>
        <v>0.35</v>
      </c>
      <c r="O264" s="97">
        <f t="shared" si="65"/>
        <v>0.35</v>
      </c>
      <c r="P264" s="97">
        <f t="shared" si="65"/>
        <v>0.35</v>
      </c>
      <c r="Q264" s="97">
        <f t="shared" si="65"/>
        <v>0.35</v>
      </c>
      <c r="R264" s="97">
        <f t="shared" si="65"/>
        <v>0.35</v>
      </c>
      <c r="S264" s="97">
        <f t="shared" si="65"/>
        <v>0.35</v>
      </c>
      <c r="T264" s="56"/>
      <c r="U264" s="56"/>
      <c r="V264" s="56"/>
      <c r="W264" s="64"/>
      <c r="Z264" s="11"/>
    </row>
    <row r="265" spans="1:26">
      <c r="A265" s="98" t="s">
        <v>393</v>
      </c>
      <c r="B265" s="98"/>
      <c r="C265" s="99"/>
      <c r="D265" s="99"/>
      <c r="E265" s="99"/>
      <c r="F265" s="100" t="s">
        <v>394</v>
      </c>
      <c r="G265" s="101">
        <f t="shared" ref="G265:S265" si="66">G263*G264</f>
        <v>-50875484.027889743</v>
      </c>
      <c r="H265" s="101">
        <f t="shared" si="66"/>
        <v>2465465.4269942814</v>
      </c>
      <c r="I265" s="101">
        <f t="shared" si="66"/>
        <v>0</v>
      </c>
      <c r="J265" s="101">
        <f t="shared" si="66"/>
        <v>1665718.2609999997</v>
      </c>
      <c r="K265" s="101">
        <f t="shared" si="66"/>
        <v>-673458.67399999988</v>
      </c>
      <c r="L265" s="101">
        <f t="shared" si="66"/>
        <v>0</v>
      </c>
      <c r="M265" s="101">
        <f t="shared" si="66"/>
        <v>-47417759.013895467</v>
      </c>
      <c r="N265" s="101">
        <f t="shared" si="66"/>
        <v>-2499177.970889214</v>
      </c>
      <c r="O265" s="101">
        <f t="shared" si="66"/>
        <v>98896.758449999979</v>
      </c>
      <c r="P265" s="101">
        <f t="shared" si="66"/>
        <v>-27898.226159999998</v>
      </c>
      <c r="Q265" s="101">
        <f t="shared" si="66"/>
        <v>0</v>
      </c>
      <c r="R265" s="101">
        <f t="shared" si="66"/>
        <v>602086.18400000001</v>
      </c>
      <c r="S265" s="101">
        <f t="shared" si="66"/>
        <v>-49243852.268494658</v>
      </c>
      <c r="T265" s="56"/>
      <c r="U265" s="56"/>
      <c r="V265" s="56"/>
      <c r="W265" s="64"/>
      <c r="Z265" s="11">
        <f>SUM(M265:R265)-S265</f>
        <v>0</v>
      </c>
    </row>
    <row r="266" spans="1:26">
      <c r="A266" s="59"/>
      <c r="B266" s="59"/>
      <c r="C266" s="65"/>
      <c r="D266" s="65"/>
      <c r="E266" s="65"/>
      <c r="F266" s="66"/>
      <c r="G266" s="56"/>
      <c r="H266" s="56"/>
      <c r="I266" s="102" t="s">
        <v>395</v>
      </c>
      <c r="J266" s="56"/>
      <c r="K266" s="103" t="s">
        <v>396</v>
      </c>
      <c r="L266" s="103" t="s">
        <v>397</v>
      </c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64"/>
      <c r="Z266" s="11"/>
    </row>
    <row r="267" spans="1:26">
      <c r="A267" s="306" t="s">
        <v>398</v>
      </c>
      <c r="B267" s="306"/>
      <c r="C267" s="306"/>
      <c r="D267" s="306"/>
      <c r="E267" s="306"/>
      <c r="F267" s="6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64"/>
      <c r="Z267" s="11"/>
    </row>
    <row r="268" spans="1:26">
      <c r="A268" s="74" t="s">
        <v>86</v>
      </c>
      <c r="B268" s="59" t="s">
        <v>399</v>
      </c>
      <c r="C268" s="65"/>
      <c r="D268" s="65" t="s">
        <v>324</v>
      </c>
      <c r="E268" s="65" t="s">
        <v>400</v>
      </c>
      <c r="F268" s="79" t="s">
        <v>401</v>
      </c>
      <c r="G268" s="61">
        <v>0</v>
      </c>
      <c r="H268" s="56">
        <v>0</v>
      </c>
      <c r="I268" s="56"/>
      <c r="J268" s="56">
        <v>0</v>
      </c>
      <c r="K268" s="56">
        <v>0</v>
      </c>
      <c r="L268" s="56">
        <v>0</v>
      </c>
      <c r="M268" s="61">
        <f>SUM(G268:L268)</f>
        <v>0</v>
      </c>
      <c r="N268" s="112">
        <f>(IF(ISNA(HLOOKUP($E$3,'[1]Current Provision - HYP'!$E$7:$BP$205,172,FALSE))=TRUE,0,HLOOKUP($E$3,'[1]Current Provision - HYP'!$E$7:$BP$205,172,FALSE)))</f>
        <v>0</v>
      </c>
      <c r="O268" s="56">
        <v>0</v>
      </c>
      <c r="P268" s="58">
        <v>0</v>
      </c>
      <c r="Q268" s="58">
        <v>0</v>
      </c>
      <c r="R268" s="58">
        <v>0</v>
      </c>
      <c r="S268" s="61">
        <f>SUM(M268:R268)</f>
        <v>0</v>
      </c>
      <c r="T268" s="56"/>
      <c r="U268" s="56">
        <f>S268</f>
        <v>0</v>
      </c>
      <c r="V268" s="93" t="s">
        <v>60</v>
      </c>
      <c r="W268" s="64">
        <f>U268</f>
        <v>0</v>
      </c>
      <c r="Z268" s="11">
        <f>SUM(M268:R268)-S268</f>
        <v>0</v>
      </c>
    </row>
    <row r="269" spans="1:26">
      <c r="A269" s="74" t="s">
        <v>86</v>
      </c>
      <c r="B269" s="59" t="s">
        <v>402</v>
      </c>
      <c r="C269" s="65"/>
      <c r="D269" s="65" t="s">
        <v>324</v>
      </c>
      <c r="E269" s="65" t="s">
        <v>403</v>
      </c>
      <c r="F269" s="66"/>
      <c r="G269" s="61">
        <v>21239</v>
      </c>
      <c r="H269" s="56">
        <v>5430</v>
      </c>
      <c r="I269" s="56"/>
      <c r="J269" s="56">
        <v>0</v>
      </c>
      <c r="K269" s="56">
        <v>0</v>
      </c>
      <c r="L269" s="56">
        <v>0</v>
      </c>
      <c r="M269" s="61">
        <f>SUM(G269:L269)</f>
        <v>26669</v>
      </c>
      <c r="N269" s="56">
        <v>0</v>
      </c>
      <c r="O269" s="56">
        <v>0</v>
      </c>
      <c r="P269" s="58">
        <v>0</v>
      </c>
      <c r="Q269" s="58">
        <v>0</v>
      </c>
      <c r="R269" s="58">
        <v>0</v>
      </c>
      <c r="S269" s="61">
        <f>SUM(M269:R269)</f>
        <v>26669</v>
      </c>
      <c r="T269" s="56"/>
      <c r="U269" s="56">
        <f>S269</f>
        <v>26669</v>
      </c>
      <c r="V269" s="93" t="s">
        <v>60</v>
      </c>
      <c r="W269" s="64">
        <f>U269</f>
        <v>26669</v>
      </c>
      <c r="Z269" s="11">
        <f>SUM(M269:R269)-S269</f>
        <v>0</v>
      </c>
    </row>
    <row r="270" spans="1:26">
      <c r="A270" s="74" t="s">
        <v>86</v>
      </c>
      <c r="B270" s="61" t="s">
        <v>404</v>
      </c>
      <c r="C270" s="65"/>
      <c r="D270" s="65" t="s">
        <v>324</v>
      </c>
      <c r="E270" s="65" t="s">
        <v>400</v>
      </c>
      <c r="F270" s="66"/>
      <c r="G270" s="61">
        <v>0</v>
      </c>
      <c r="H270" s="56">
        <v>0</v>
      </c>
      <c r="I270" s="56"/>
      <c r="J270" s="56">
        <v>0</v>
      </c>
      <c r="K270" s="56">
        <v>0</v>
      </c>
      <c r="L270" s="56">
        <v>0</v>
      </c>
      <c r="M270" s="61">
        <f>SUM(G270:L270)</f>
        <v>0</v>
      </c>
      <c r="N270" s="56">
        <v>0</v>
      </c>
      <c r="O270" s="56">
        <v>0</v>
      </c>
      <c r="P270" s="58">
        <v>0</v>
      </c>
      <c r="Q270" s="58">
        <v>0</v>
      </c>
      <c r="R270" s="58">
        <v>0</v>
      </c>
      <c r="S270" s="67">
        <f>SUM(M270:R270)</f>
        <v>0</v>
      </c>
      <c r="T270" s="56"/>
      <c r="U270" s="56">
        <f>S270</f>
        <v>0</v>
      </c>
      <c r="V270" s="93" t="s">
        <v>60</v>
      </c>
      <c r="W270" s="64">
        <f>U270</f>
        <v>0</v>
      </c>
      <c r="Z270" s="11">
        <f>SUM(M270:R270)-S270</f>
        <v>0</v>
      </c>
    </row>
    <row r="271" spans="1:26">
      <c r="A271" s="74"/>
      <c r="B271" s="59" t="s">
        <v>98</v>
      </c>
      <c r="C271" s="65"/>
      <c r="D271" s="65"/>
      <c r="E271" s="65"/>
      <c r="F271" s="66"/>
      <c r="G271" s="61">
        <v>0</v>
      </c>
      <c r="H271" s="56">
        <v>0</v>
      </c>
      <c r="I271" s="56"/>
      <c r="J271" s="56">
        <v>0</v>
      </c>
      <c r="K271" s="56">
        <v>0</v>
      </c>
      <c r="L271" s="56">
        <v>0</v>
      </c>
      <c r="M271" s="61">
        <f>SUM(G271:L271)</f>
        <v>0</v>
      </c>
      <c r="N271" s="56">
        <v>0</v>
      </c>
      <c r="O271" s="56">
        <v>0</v>
      </c>
      <c r="P271" s="58">
        <v>0</v>
      </c>
      <c r="Q271" s="58">
        <v>0</v>
      </c>
      <c r="R271" s="58">
        <v>0</v>
      </c>
      <c r="S271" s="61">
        <f>SUM(M271:R271)</f>
        <v>0</v>
      </c>
      <c r="T271" s="56"/>
      <c r="U271" s="56">
        <f>S271</f>
        <v>0</v>
      </c>
      <c r="V271" s="93" t="s">
        <v>60</v>
      </c>
      <c r="W271" s="64">
        <f>U271</f>
        <v>0</v>
      </c>
      <c r="Z271" s="11"/>
    </row>
    <row r="272" spans="1:26">
      <c r="A272" s="74"/>
      <c r="B272" s="59" t="s">
        <v>98</v>
      </c>
      <c r="C272" s="65"/>
      <c r="D272" s="65"/>
      <c r="E272" s="65"/>
      <c r="F272" s="66"/>
      <c r="G272" s="61">
        <v>0</v>
      </c>
      <c r="H272" s="56">
        <v>0</v>
      </c>
      <c r="I272" s="56"/>
      <c r="J272" s="56">
        <v>0</v>
      </c>
      <c r="K272" s="56">
        <v>0</v>
      </c>
      <c r="L272" s="56">
        <v>0</v>
      </c>
      <c r="M272" s="61">
        <f>SUM(G272:L272)</f>
        <v>0</v>
      </c>
      <c r="N272" s="56">
        <v>0</v>
      </c>
      <c r="O272" s="56">
        <v>0</v>
      </c>
      <c r="P272" s="58">
        <v>0</v>
      </c>
      <c r="Q272" s="58">
        <v>0</v>
      </c>
      <c r="R272" s="58">
        <v>0</v>
      </c>
      <c r="S272" s="61">
        <f>SUM(M272:R272)</f>
        <v>0</v>
      </c>
      <c r="T272" s="56"/>
      <c r="U272" s="56">
        <f>S272</f>
        <v>0</v>
      </c>
      <c r="V272" s="93" t="s">
        <v>60</v>
      </c>
      <c r="W272" s="64">
        <f>U272</f>
        <v>0</v>
      </c>
      <c r="Z272" s="11"/>
    </row>
    <row r="273" spans="1:26">
      <c r="A273" s="68" t="s">
        <v>405</v>
      </c>
      <c r="B273" s="68"/>
      <c r="C273" s="69"/>
      <c r="D273" s="69"/>
      <c r="E273" s="69"/>
      <c r="F273" s="70" t="s">
        <v>406</v>
      </c>
      <c r="G273" s="71">
        <f>SUM(G268:G272)</f>
        <v>21239</v>
      </c>
      <c r="H273" s="71">
        <f t="shared" ref="H273:S273" si="67">SUM(H268:H272)</f>
        <v>5430</v>
      </c>
      <c r="I273" s="71">
        <f t="shared" si="67"/>
        <v>0</v>
      </c>
      <c r="J273" s="71">
        <f t="shared" si="67"/>
        <v>0</v>
      </c>
      <c r="K273" s="71">
        <f t="shared" si="67"/>
        <v>0</v>
      </c>
      <c r="L273" s="71">
        <f t="shared" si="67"/>
        <v>0</v>
      </c>
      <c r="M273" s="71">
        <f t="shared" si="67"/>
        <v>26669</v>
      </c>
      <c r="N273" s="71">
        <f t="shared" si="67"/>
        <v>0</v>
      </c>
      <c r="O273" s="71">
        <f t="shared" si="67"/>
        <v>0</v>
      </c>
      <c r="P273" s="71">
        <f t="shared" si="67"/>
        <v>0</v>
      </c>
      <c r="Q273" s="71">
        <f t="shared" si="67"/>
        <v>0</v>
      </c>
      <c r="R273" s="71">
        <f t="shared" si="67"/>
        <v>0</v>
      </c>
      <c r="S273" s="71">
        <f t="shared" si="67"/>
        <v>26669</v>
      </c>
      <c r="T273" s="56"/>
      <c r="U273" s="71">
        <f>SUM(U268:U272)</f>
        <v>26669</v>
      </c>
      <c r="V273" s="71">
        <f>SUM(V268:V272)</f>
        <v>0</v>
      </c>
      <c r="W273" s="71">
        <f>SUM(W268:W272)</f>
        <v>26669</v>
      </c>
      <c r="Z273" s="11">
        <f>SUM(M273:R273)-S273</f>
        <v>0</v>
      </c>
    </row>
    <row r="274" spans="1:26" ht="15">
      <c r="A274" s="59"/>
      <c r="B274" s="59"/>
      <c r="C274" s="65"/>
      <c r="D274" s="65"/>
      <c r="E274" s="65"/>
      <c r="F274" s="6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304" t="s">
        <v>407</v>
      </c>
      <c r="V274" s="304"/>
      <c r="W274" s="304"/>
      <c r="Z274" s="11"/>
    </row>
    <row r="275" spans="1:26">
      <c r="A275" s="306" t="s">
        <v>408</v>
      </c>
      <c r="B275" s="306"/>
      <c r="C275" s="306"/>
      <c r="D275" s="306"/>
      <c r="E275" s="306"/>
      <c r="F275" s="6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64"/>
      <c r="Z275" s="11"/>
    </row>
    <row r="276" spans="1:26">
      <c r="A276" s="59" t="s">
        <v>409</v>
      </c>
      <c r="B276" s="59"/>
      <c r="C276" s="65"/>
      <c r="D276" s="65"/>
      <c r="E276" s="65"/>
      <c r="F276" s="79" t="s">
        <v>410</v>
      </c>
      <c r="G276" s="61"/>
      <c r="H276" s="62">
        <v>0</v>
      </c>
      <c r="I276" s="56"/>
      <c r="J276" s="62">
        <v>0</v>
      </c>
      <c r="K276" s="56">
        <v>0</v>
      </c>
      <c r="L276" s="56">
        <v>0</v>
      </c>
      <c r="M276" s="56"/>
      <c r="N276" s="56"/>
      <c r="O276" s="56">
        <v>0</v>
      </c>
      <c r="P276" s="56">
        <v>0</v>
      </c>
      <c r="Q276" s="56">
        <v>0</v>
      </c>
      <c r="R276" s="56">
        <v>0</v>
      </c>
      <c r="S276" s="61">
        <f>SUM(M276:R276)</f>
        <v>0</v>
      </c>
      <c r="T276" s="56"/>
      <c r="U276" s="56">
        <f>S276</f>
        <v>0</v>
      </c>
      <c r="V276" s="93" t="s">
        <v>60</v>
      </c>
      <c r="W276" s="64">
        <f>U276</f>
        <v>0</v>
      </c>
      <c r="Z276" s="11">
        <f>SUM(M276:R276)-S276</f>
        <v>0</v>
      </c>
    </row>
    <row r="277" spans="1:26">
      <c r="A277" s="59" t="s">
        <v>8</v>
      </c>
      <c r="B277" s="59"/>
      <c r="C277" s="65"/>
      <c r="D277" s="65"/>
      <c r="E277" s="65"/>
      <c r="F277" s="66"/>
      <c r="G277" s="61"/>
      <c r="H277" s="62">
        <v>0</v>
      </c>
      <c r="I277" s="56"/>
      <c r="J277" s="62">
        <v>0</v>
      </c>
      <c r="K277" s="56">
        <v>0</v>
      </c>
      <c r="L277" s="56">
        <v>0</v>
      </c>
      <c r="M277" s="56"/>
      <c r="N277" s="56"/>
      <c r="O277" s="56">
        <v>0</v>
      </c>
      <c r="P277" s="56">
        <v>0</v>
      </c>
      <c r="Q277" s="56">
        <v>0</v>
      </c>
      <c r="R277" s="56">
        <v>0</v>
      </c>
      <c r="S277" s="61">
        <f>SUM(M277:R277)</f>
        <v>0</v>
      </c>
      <c r="T277" s="56"/>
      <c r="U277" s="56">
        <f>S277</f>
        <v>0</v>
      </c>
      <c r="V277" s="93" t="s">
        <v>60</v>
      </c>
      <c r="W277" s="64">
        <f>U277</f>
        <v>0</v>
      </c>
      <c r="Z277" s="11">
        <f>SUM(M277:R277)-S277</f>
        <v>0</v>
      </c>
    </row>
    <row r="278" spans="1:26">
      <c r="A278" s="59" t="s">
        <v>8</v>
      </c>
      <c r="B278" s="59"/>
      <c r="C278" s="65"/>
      <c r="D278" s="65"/>
      <c r="E278" s="65"/>
      <c r="F278" s="66"/>
      <c r="G278" s="61"/>
      <c r="H278" s="62">
        <v>0</v>
      </c>
      <c r="I278" s="56"/>
      <c r="J278" s="62">
        <v>0</v>
      </c>
      <c r="K278" s="56">
        <v>0</v>
      </c>
      <c r="L278" s="56">
        <v>0</v>
      </c>
      <c r="M278" s="56"/>
      <c r="N278" s="56"/>
      <c r="O278" s="56">
        <v>0</v>
      </c>
      <c r="P278" s="56">
        <v>0</v>
      </c>
      <c r="Q278" s="56">
        <v>0</v>
      </c>
      <c r="R278" s="56">
        <v>0</v>
      </c>
      <c r="S278" s="67">
        <f>SUM(M278:R278)</f>
        <v>0</v>
      </c>
      <c r="T278" s="56"/>
      <c r="U278" s="56">
        <f>S278</f>
        <v>0</v>
      </c>
      <c r="V278" s="93" t="s">
        <v>60</v>
      </c>
      <c r="W278" s="64">
        <f>U278</f>
        <v>0</v>
      </c>
      <c r="Z278" s="11">
        <f>SUM(M278:R278)-S278</f>
        <v>0</v>
      </c>
    </row>
    <row r="279" spans="1:26">
      <c r="A279" s="68" t="s">
        <v>379</v>
      </c>
      <c r="B279" s="68"/>
      <c r="C279" s="69"/>
      <c r="D279" s="69"/>
      <c r="E279" s="69"/>
      <c r="F279" s="70" t="s">
        <v>411</v>
      </c>
      <c r="G279" s="71">
        <f t="shared" ref="G279:S279" si="68">SUM(G276:G278)</f>
        <v>0</v>
      </c>
      <c r="H279" s="71">
        <f t="shared" si="68"/>
        <v>0</v>
      </c>
      <c r="I279" s="71">
        <f t="shared" si="68"/>
        <v>0</v>
      </c>
      <c r="J279" s="71">
        <f t="shared" si="68"/>
        <v>0</v>
      </c>
      <c r="K279" s="71">
        <f t="shared" si="68"/>
        <v>0</v>
      </c>
      <c r="L279" s="71">
        <f t="shared" si="68"/>
        <v>0</v>
      </c>
      <c r="M279" s="71">
        <f t="shared" si="68"/>
        <v>0</v>
      </c>
      <c r="N279" s="71">
        <f t="shared" si="68"/>
        <v>0</v>
      </c>
      <c r="O279" s="71">
        <f t="shared" si="68"/>
        <v>0</v>
      </c>
      <c r="P279" s="71">
        <f t="shared" si="68"/>
        <v>0</v>
      </c>
      <c r="Q279" s="71">
        <f t="shared" si="68"/>
        <v>0</v>
      </c>
      <c r="R279" s="71">
        <f t="shared" si="68"/>
        <v>0</v>
      </c>
      <c r="S279" s="71">
        <f t="shared" si="68"/>
        <v>0</v>
      </c>
      <c r="T279" s="56"/>
      <c r="U279" s="71">
        <f>SUM(U276:U278)</f>
        <v>0</v>
      </c>
      <c r="V279" s="105" t="s">
        <v>60</v>
      </c>
      <c r="W279" s="71">
        <f>SUM(W276:W278)</f>
        <v>0</v>
      </c>
      <c r="Z279" s="11">
        <f>SUM(M279:R279)-S279</f>
        <v>0</v>
      </c>
    </row>
    <row r="280" spans="1:26" ht="15.75" thickBot="1">
      <c r="A280" s="59"/>
      <c r="B280" s="59"/>
      <c r="C280" s="65"/>
      <c r="D280" s="65"/>
      <c r="E280" s="65"/>
      <c r="F280" s="6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304" t="s">
        <v>412</v>
      </c>
      <c r="V280" s="304"/>
      <c r="W280" s="304"/>
      <c r="Z280" s="11"/>
    </row>
    <row r="281" spans="1:26" s="114" customFormat="1">
      <c r="A281" s="106" t="s">
        <v>413</v>
      </c>
      <c r="B281" s="107"/>
      <c r="C281" s="108"/>
      <c r="D281" s="108"/>
      <c r="E281" s="108"/>
      <c r="F281" s="109" t="s">
        <v>414</v>
      </c>
      <c r="G281" s="110">
        <f t="shared" ref="G281:P281" si="69">G265+G273+G279</f>
        <v>-50854245.027889743</v>
      </c>
      <c r="H281" s="110">
        <f t="shared" si="69"/>
        <v>2470895.4269942814</v>
      </c>
      <c r="I281" s="110">
        <f t="shared" si="69"/>
        <v>0</v>
      </c>
      <c r="J281" s="110">
        <f t="shared" si="69"/>
        <v>1665718.2609999997</v>
      </c>
      <c r="K281" s="110">
        <f t="shared" si="69"/>
        <v>-673458.67399999988</v>
      </c>
      <c r="L281" s="110">
        <f>L265+L273+L279</f>
        <v>0</v>
      </c>
      <c r="M281" s="110">
        <f t="shared" si="69"/>
        <v>-47391090.013895467</v>
      </c>
      <c r="N281" s="110">
        <f t="shared" si="69"/>
        <v>-2499177.970889214</v>
      </c>
      <c r="O281" s="110">
        <f t="shared" si="69"/>
        <v>98896.758449999979</v>
      </c>
      <c r="P281" s="110">
        <f t="shared" si="69"/>
        <v>-27898.226159999998</v>
      </c>
      <c r="Q281" s="110">
        <f>Q265+Q273+Q279</f>
        <v>0</v>
      </c>
      <c r="R281" s="110">
        <f>R265+R273+R279</f>
        <v>602086.18400000001</v>
      </c>
      <c r="S281" s="110">
        <f>S265+S273+S279</f>
        <v>-49217183.268494658</v>
      </c>
      <c r="T281" s="111" t="s">
        <v>415</v>
      </c>
      <c r="U281" s="112"/>
      <c r="V281" s="112"/>
      <c r="W281" s="113"/>
      <c r="Z281" s="115">
        <f>SUM(M281:R281)-S281</f>
        <v>0</v>
      </c>
    </row>
    <row r="282" spans="1:26" s="114" customFormat="1" ht="14.25" thickBot="1">
      <c r="A282" s="116" t="s">
        <v>416</v>
      </c>
      <c r="B282" s="117"/>
      <c r="C282" s="118"/>
      <c r="D282" s="118"/>
      <c r="E282" s="118"/>
      <c r="F282" s="119" t="s">
        <v>417</v>
      </c>
      <c r="G282" s="120">
        <f>G259</f>
        <v>-7767293.7362023927</v>
      </c>
      <c r="H282" s="120">
        <f t="shared" ref="H282:S282" si="70">H259</f>
        <v>996796.12424097478</v>
      </c>
      <c r="I282" s="120">
        <f t="shared" si="70"/>
        <v>0</v>
      </c>
      <c r="J282" s="120">
        <f t="shared" si="70"/>
        <v>36585.54</v>
      </c>
      <c r="K282" s="120">
        <f t="shared" si="70"/>
        <v>-25923.360000000001</v>
      </c>
      <c r="L282" s="120">
        <f>L259</f>
        <v>0</v>
      </c>
      <c r="M282" s="120">
        <f>M259</f>
        <v>-6759835.4319614181</v>
      </c>
      <c r="N282" s="120">
        <f>N259</f>
        <v>-512966.61563329137</v>
      </c>
      <c r="O282" s="120">
        <f t="shared" si="70"/>
        <v>18035.882999999994</v>
      </c>
      <c r="P282" s="120">
        <f t="shared" si="70"/>
        <v>-5087.8224</v>
      </c>
      <c r="Q282" s="120">
        <f t="shared" si="70"/>
        <v>0</v>
      </c>
      <c r="R282" s="120">
        <f t="shared" si="70"/>
        <v>103214.76</v>
      </c>
      <c r="S282" s="120">
        <f t="shared" si="70"/>
        <v>-7156639.2269947091</v>
      </c>
      <c r="T282" s="111" t="s">
        <v>418</v>
      </c>
      <c r="U282" s="112"/>
      <c r="V282" s="112"/>
      <c r="W282" s="113"/>
      <c r="Z282" s="115">
        <f>SUM(M282:R282)-S282</f>
        <v>0</v>
      </c>
    </row>
    <row r="283" spans="1:26" s="114" customFormat="1" ht="15" thickTop="1" thickBot="1">
      <c r="A283" s="121" t="s">
        <v>419</v>
      </c>
      <c r="B283" s="122"/>
      <c r="C283" s="123"/>
      <c r="D283" s="123"/>
      <c r="E283" s="123"/>
      <c r="F283" s="124"/>
      <c r="G283" s="125">
        <f t="shared" ref="G283:S283" si="71">SUM(G281:G282)</f>
        <v>-58621538.764092132</v>
      </c>
      <c r="H283" s="125">
        <f t="shared" si="71"/>
        <v>3467691.5512352563</v>
      </c>
      <c r="I283" s="125">
        <f t="shared" si="71"/>
        <v>0</v>
      </c>
      <c r="J283" s="125">
        <f t="shared" si="71"/>
        <v>1702303.8009999997</v>
      </c>
      <c r="K283" s="125">
        <f t="shared" si="71"/>
        <v>-699382.03399999987</v>
      </c>
      <c r="L283" s="125">
        <f>SUM(L281:L282)</f>
        <v>0</v>
      </c>
      <c r="M283" s="125">
        <f t="shared" si="71"/>
        <v>-54150925.445856884</v>
      </c>
      <c r="N283" s="125">
        <f t="shared" si="71"/>
        <v>-3012144.5865225052</v>
      </c>
      <c r="O283" s="125">
        <f t="shared" si="71"/>
        <v>116932.64144999997</v>
      </c>
      <c r="P283" s="125">
        <f t="shared" si="71"/>
        <v>-32986.048559999996</v>
      </c>
      <c r="Q283" s="125">
        <f>SUM(Q281:Q282)</f>
        <v>0</v>
      </c>
      <c r="R283" s="125">
        <f>SUM(R281:R282)</f>
        <v>705300.94400000002</v>
      </c>
      <c r="S283" s="125">
        <f t="shared" si="71"/>
        <v>-56373822.495489366</v>
      </c>
      <c r="T283" s="112"/>
      <c r="U283" s="126">
        <f>SUM(U9:U279)/2</f>
        <v>88963555.988139734</v>
      </c>
      <c r="V283" s="126">
        <f>SUM(V9:V279)/2</f>
        <v>145337378.48362908</v>
      </c>
      <c r="W283" s="127">
        <f>U283-V283</f>
        <v>-56373822.495489344</v>
      </c>
      <c r="X283" s="128"/>
      <c r="Z283" s="115">
        <f>SUM(M283:R283)-S283</f>
        <v>0</v>
      </c>
    </row>
    <row r="284" spans="1:26" s="132" customFormat="1" ht="14.25" thickTop="1">
      <c r="A284" s="129"/>
      <c r="B284" s="129"/>
      <c r="C284" s="130"/>
      <c r="D284" s="130"/>
      <c r="E284" s="130"/>
      <c r="F284" s="66"/>
      <c r="G284" s="103" t="s">
        <v>420</v>
      </c>
      <c r="H284" s="103" t="s">
        <v>421</v>
      </c>
      <c r="I284" s="103" t="s">
        <v>422</v>
      </c>
      <c r="J284" s="103" t="s">
        <v>423</v>
      </c>
      <c r="K284" s="103" t="s">
        <v>424</v>
      </c>
      <c r="L284" s="103" t="s">
        <v>425</v>
      </c>
      <c r="M284" s="103" t="s">
        <v>426</v>
      </c>
      <c r="N284" s="103" t="s">
        <v>427</v>
      </c>
      <c r="O284" s="103" t="s">
        <v>428</v>
      </c>
      <c r="P284" s="103" t="s">
        <v>429</v>
      </c>
      <c r="Q284" s="103" t="s">
        <v>430</v>
      </c>
      <c r="R284" s="103" t="s">
        <v>431</v>
      </c>
      <c r="S284" s="103" t="s">
        <v>432</v>
      </c>
      <c r="T284" s="131"/>
      <c r="U284" s="131"/>
      <c r="W284" s="133" t="str">
        <f>IF(W283=S283,"OK","Error in Analysis")</f>
        <v>Error in Analysis</v>
      </c>
    </row>
    <row r="285" spans="1:26" s="132" customFormat="1">
      <c r="A285" s="129"/>
      <c r="B285" s="129"/>
      <c r="C285" s="130"/>
      <c r="D285" s="130"/>
      <c r="E285" s="277" t="s">
        <v>793</v>
      </c>
      <c r="F285" s="275">
        <f>+'TB @ 123112'!B14</f>
        <v>-57596924.119999997</v>
      </c>
      <c r="G285" s="134" t="s">
        <v>433</v>
      </c>
      <c r="H285" s="134">
        <v>3095189</v>
      </c>
      <c r="I285" s="134" t="s">
        <v>434</v>
      </c>
      <c r="J285" s="134">
        <v>1024624</v>
      </c>
      <c r="K285" s="56">
        <v>-699382</v>
      </c>
      <c r="L285" s="56" t="s">
        <v>770</v>
      </c>
      <c r="M285" s="103"/>
      <c r="N285" s="103"/>
      <c r="O285" s="103"/>
      <c r="P285" s="103"/>
      <c r="Q285" s="93"/>
      <c r="R285" s="56"/>
      <c r="S285" s="275">
        <f>+'TB @ 123112'!C14</f>
        <v>-56373831.980000004</v>
      </c>
      <c r="T285" s="255" t="s">
        <v>793</v>
      </c>
      <c r="U285" s="131"/>
      <c r="V285" s="135" t="s">
        <v>436</v>
      </c>
      <c r="W285" s="136">
        <f>W283-S283</f>
        <v>0</v>
      </c>
    </row>
    <row r="286" spans="1:26" ht="15">
      <c r="A286" s="59"/>
      <c r="B286" s="59"/>
      <c r="C286" s="65"/>
      <c r="D286" s="65"/>
      <c r="E286" s="277" t="s">
        <v>768</v>
      </c>
      <c r="F286" s="276">
        <f>+G283-F285</f>
        <v>-1024614.6440921351</v>
      </c>
      <c r="G286" s="134" t="s">
        <v>437</v>
      </c>
      <c r="H286" s="134">
        <v>372386</v>
      </c>
      <c r="I286" s="137" t="s">
        <v>440</v>
      </c>
      <c r="J286" s="56">
        <v>677679</v>
      </c>
      <c r="K286" s="56"/>
      <c r="L286" s="56" t="s">
        <v>771</v>
      </c>
      <c r="M286" s="56"/>
      <c r="N286" s="56"/>
      <c r="O286" s="56"/>
      <c r="P286" s="56"/>
      <c r="Q286" s="56" t="s">
        <v>439</v>
      </c>
      <c r="R286" s="266">
        <v>705301</v>
      </c>
      <c r="S286" s="276">
        <f>+S283-S285</f>
        <v>9.484510637819767</v>
      </c>
      <c r="T286" s="255" t="s">
        <v>768</v>
      </c>
      <c r="U286" s="56"/>
      <c r="V286" s="135"/>
      <c r="W286" s="136"/>
    </row>
    <row r="287" spans="1:26" ht="15.75" thickBot="1">
      <c r="A287" s="59"/>
      <c r="B287" s="59"/>
      <c r="C287" s="65"/>
      <c r="D287" s="65"/>
      <c r="E287" s="277" t="s">
        <v>794</v>
      </c>
      <c r="F287" s="275">
        <f>+J285</f>
        <v>1024624</v>
      </c>
      <c r="G287" s="134" t="s">
        <v>792</v>
      </c>
      <c r="H287" s="268">
        <v>116</v>
      </c>
      <c r="I287" s="137"/>
      <c r="J287" s="269"/>
      <c r="K287" s="248"/>
      <c r="L287" s="56"/>
      <c r="M287" s="56"/>
      <c r="N287" s="56"/>
      <c r="O287" s="56"/>
      <c r="P287" s="56"/>
      <c r="Q287" s="56" t="s">
        <v>10</v>
      </c>
      <c r="R287" s="56">
        <f>R285+R286</f>
        <v>705301</v>
      </c>
      <c r="S287" s="56"/>
      <c r="T287" s="56"/>
      <c r="U287" s="56"/>
      <c r="V287" s="135"/>
      <c r="W287" s="136"/>
    </row>
    <row r="288" spans="1:26" ht="14.25" thickBot="1">
      <c r="A288" s="59"/>
      <c r="B288" s="59"/>
      <c r="C288" s="65"/>
      <c r="D288" s="65"/>
      <c r="E288" s="278" t="s">
        <v>768</v>
      </c>
      <c r="F288" s="276">
        <f>+F286+F287</f>
        <v>9.3559078648686409</v>
      </c>
      <c r="G288" s="134" t="s">
        <v>10</v>
      </c>
      <c r="H288" s="134">
        <f>SUM(H285:H287)</f>
        <v>3467691</v>
      </c>
      <c r="I288" s="93" t="s">
        <v>10</v>
      </c>
      <c r="J288" s="56">
        <f>SUM(J285:J287)</f>
        <v>1702303</v>
      </c>
      <c r="K288" s="56">
        <f>SUM(K285:K287)</f>
        <v>-699382</v>
      </c>
      <c r="L288" s="56"/>
      <c r="M288" s="56"/>
      <c r="N288" s="56"/>
      <c r="O288" s="56"/>
      <c r="P288" s="56"/>
      <c r="Q288" s="56"/>
      <c r="R288" s="56">
        <f>R283-R287</f>
        <v>-5.5999999982304871E-2</v>
      </c>
      <c r="S288" s="142" t="s">
        <v>441</v>
      </c>
      <c r="V288" s="135"/>
      <c r="W288" s="136"/>
    </row>
    <row r="289" spans="1:23" s="144" customFormat="1">
      <c r="A289" s="143"/>
      <c r="B289" s="59"/>
      <c r="C289" s="65"/>
      <c r="D289" s="65"/>
      <c r="E289" s="139"/>
      <c r="F289" s="65"/>
      <c r="G289" s="140"/>
      <c r="H289" s="141"/>
      <c r="I289" s="56"/>
      <c r="J289" s="56">
        <f>J283-J288</f>
        <v>0.80099999974481761</v>
      </c>
      <c r="K289" s="56"/>
      <c r="L289" s="56"/>
      <c r="M289" s="56"/>
      <c r="N289" s="56"/>
      <c r="O289" s="56"/>
      <c r="P289" s="56"/>
      <c r="Q289" s="56"/>
      <c r="R289" s="56"/>
      <c r="S289" s="56"/>
      <c r="U289" s="104"/>
      <c r="V289" s="104"/>
      <c r="W289" s="104"/>
    </row>
    <row r="290" spans="1:23" ht="12.75">
      <c r="A290" s="59"/>
      <c r="B290" s="59" t="s">
        <v>443</v>
      </c>
      <c r="C290" s="65"/>
      <c r="D290" s="65"/>
      <c r="E290" s="139"/>
      <c r="F290" s="65"/>
      <c r="G290" s="56">
        <f t="shared" ref="G290:S290" si="72">G32*($G306+$G308)</f>
        <v>194547.2489947</v>
      </c>
      <c r="H290" s="56">
        <f t="shared" si="72"/>
        <v>0.32899999999999996</v>
      </c>
      <c r="I290" s="56">
        <f t="shared" si="72"/>
        <v>0</v>
      </c>
      <c r="J290" s="56">
        <f t="shared" si="72"/>
        <v>0</v>
      </c>
      <c r="K290" s="56">
        <f t="shared" si="72"/>
        <v>0</v>
      </c>
      <c r="L290" s="56">
        <f t="shared" si="72"/>
        <v>0</v>
      </c>
      <c r="M290" s="56">
        <f t="shared" si="72"/>
        <v>194547.5779947</v>
      </c>
      <c r="N290" s="56">
        <f t="shared" si="72"/>
        <v>37674.178082916667</v>
      </c>
      <c r="O290" s="56">
        <f t="shared" si="72"/>
        <v>0</v>
      </c>
      <c r="P290" s="56">
        <f t="shared" si="72"/>
        <v>0</v>
      </c>
      <c r="Q290" s="56">
        <f t="shared" si="72"/>
        <v>0</v>
      </c>
      <c r="R290" s="56">
        <f t="shared" si="72"/>
        <v>0</v>
      </c>
      <c r="S290" s="56">
        <f t="shared" si="72"/>
        <v>232221.75607761665</v>
      </c>
      <c r="U290" s="56"/>
      <c r="V290" s="56"/>
      <c r="W290" s="145"/>
    </row>
    <row r="291" spans="1:23" ht="12.75">
      <c r="A291" s="59"/>
      <c r="B291" s="59" t="s">
        <v>444</v>
      </c>
      <c r="C291" s="65"/>
      <c r="D291" s="65"/>
      <c r="E291" s="139"/>
      <c r="F291" s="65"/>
      <c r="G291" s="56">
        <f>G281-G290</f>
        <v>-51048792.276884444</v>
      </c>
      <c r="H291" s="56">
        <f t="shared" ref="H291:S291" si="73">H281-H290</f>
        <v>2470895.0979942814</v>
      </c>
      <c r="I291" s="56">
        <f t="shared" si="73"/>
        <v>0</v>
      </c>
      <c r="J291" s="56">
        <f t="shared" si="73"/>
        <v>1665718.2609999997</v>
      </c>
      <c r="K291" s="56">
        <f t="shared" si="73"/>
        <v>-673458.67399999988</v>
      </c>
      <c r="L291" s="56">
        <f t="shared" si="73"/>
        <v>0</v>
      </c>
      <c r="M291" s="56">
        <f t="shared" si="73"/>
        <v>-47585637.591890164</v>
      </c>
      <c r="N291" s="56">
        <f t="shared" si="73"/>
        <v>-2536852.1489721308</v>
      </c>
      <c r="O291" s="56">
        <f t="shared" si="73"/>
        <v>98896.758449999979</v>
      </c>
      <c r="P291" s="56">
        <f t="shared" si="73"/>
        <v>-27898.226159999998</v>
      </c>
      <c r="Q291" s="56">
        <f t="shared" si="73"/>
        <v>0</v>
      </c>
      <c r="R291" s="56">
        <f t="shared" si="73"/>
        <v>602086.18400000001</v>
      </c>
      <c r="S291" s="56">
        <f t="shared" si="73"/>
        <v>-49449405.024572276</v>
      </c>
      <c r="U291" s="56"/>
      <c r="V291" s="56"/>
      <c r="W291" s="145"/>
    </row>
    <row r="292" spans="1:23" ht="12.75">
      <c r="A292" s="59"/>
      <c r="B292" s="59" t="s">
        <v>445</v>
      </c>
      <c r="C292" s="65"/>
      <c r="D292" s="65"/>
      <c r="E292" s="139"/>
      <c r="F292" s="65"/>
      <c r="G292" s="56">
        <f t="shared" ref="G292:S292" si="74">G32*$G307</f>
        <v>35479.741458000004</v>
      </c>
      <c r="H292" s="56">
        <f t="shared" si="74"/>
        <v>0.06</v>
      </c>
      <c r="I292" s="56">
        <f t="shared" si="74"/>
        <v>0</v>
      </c>
      <c r="J292" s="56">
        <f t="shared" si="74"/>
        <v>0</v>
      </c>
      <c r="K292" s="56">
        <f t="shared" si="74"/>
        <v>0</v>
      </c>
      <c r="L292" s="56">
        <f t="shared" si="74"/>
        <v>0</v>
      </c>
      <c r="M292" s="56">
        <f t="shared" si="74"/>
        <v>35479.801458000002</v>
      </c>
      <c r="N292" s="56">
        <f t="shared" si="74"/>
        <v>6870.6707750000005</v>
      </c>
      <c r="O292" s="56">
        <f t="shared" si="74"/>
        <v>0</v>
      </c>
      <c r="P292" s="56">
        <f t="shared" si="74"/>
        <v>0</v>
      </c>
      <c r="Q292" s="56">
        <f t="shared" si="74"/>
        <v>0</v>
      </c>
      <c r="R292" s="56">
        <f t="shared" si="74"/>
        <v>0</v>
      </c>
      <c r="S292" s="56">
        <f t="shared" si="74"/>
        <v>42350.472233</v>
      </c>
      <c r="U292" s="56"/>
      <c r="V292" s="56"/>
      <c r="W292" s="56"/>
    </row>
    <row r="293" spans="1:23" ht="12.75">
      <c r="A293" s="59"/>
      <c r="B293" s="59" t="s">
        <v>446</v>
      </c>
      <c r="C293" s="65"/>
      <c r="D293" s="65"/>
      <c r="E293" s="139"/>
      <c r="F293" s="65"/>
      <c r="G293" s="56">
        <f>G282-G292</f>
        <v>-7802773.4776603924</v>
      </c>
      <c r="H293" s="56">
        <f t="shared" ref="H293:S293" si="75">H282-H292</f>
        <v>996796.06424097472</v>
      </c>
      <c r="I293" s="56">
        <f t="shared" si="75"/>
        <v>0</v>
      </c>
      <c r="J293" s="56">
        <f t="shared" si="75"/>
        <v>36585.54</v>
      </c>
      <c r="K293" s="56">
        <f t="shared" si="75"/>
        <v>-25923.360000000001</v>
      </c>
      <c r="L293" s="56">
        <f>L282-L292</f>
        <v>0</v>
      </c>
      <c r="M293" s="56">
        <f t="shared" si="75"/>
        <v>-6795315.2334194183</v>
      </c>
      <c r="N293" s="56">
        <f t="shared" si="75"/>
        <v>-519837.28640829137</v>
      </c>
      <c r="O293" s="56">
        <f t="shared" si="75"/>
        <v>18035.882999999994</v>
      </c>
      <c r="P293" s="56">
        <f t="shared" si="75"/>
        <v>-5087.8224</v>
      </c>
      <c r="Q293" s="56">
        <f t="shared" si="75"/>
        <v>0</v>
      </c>
      <c r="R293" s="56">
        <f t="shared" si="75"/>
        <v>103214.76</v>
      </c>
      <c r="S293" s="56">
        <f t="shared" si="75"/>
        <v>-7198989.6992277093</v>
      </c>
      <c r="U293" s="56"/>
      <c r="V293" s="135"/>
      <c r="W293" s="73"/>
    </row>
    <row r="294" spans="1:23" ht="12.75">
      <c r="A294" s="59"/>
      <c r="B294" s="59"/>
      <c r="C294" s="65"/>
      <c r="D294" s="65"/>
      <c r="E294" s="139"/>
      <c r="F294" s="65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U294" s="56"/>
      <c r="V294" s="135"/>
      <c r="W294" s="136"/>
    </row>
    <row r="295" spans="1:23" thickBot="1">
      <c r="A295" s="59"/>
      <c r="B295" s="59" t="s">
        <v>10</v>
      </c>
      <c r="C295" s="65"/>
      <c r="D295" s="65"/>
      <c r="E295" s="139"/>
      <c r="F295" s="65"/>
      <c r="G295" s="146">
        <f>SUM(G290:G294)</f>
        <v>-58621538.76409214</v>
      </c>
      <c r="H295" s="146">
        <f t="shared" ref="H295:S295" si="76">SUM(H290:H294)</f>
        <v>3467691.5512352563</v>
      </c>
      <c r="I295" s="146">
        <f t="shared" si="76"/>
        <v>0</v>
      </c>
      <c r="J295" s="146">
        <f t="shared" si="76"/>
        <v>1702303.8009999997</v>
      </c>
      <c r="K295" s="146">
        <f t="shared" si="76"/>
        <v>-699382.03399999987</v>
      </c>
      <c r="L295" s="146">
        <f>SUM(L290:L294)</f>
        <v>0</v>
      </c>
      <c r="M295" s="146">
        <f t="shared" si="76"/>
        <v>-54150925.445856884</v>
      </c>
      <c r="N295" s="146">
        <f t="shared" si="76"/>
        <v>-3012144.5865225052</v>
      </c>
      <c r="O295" s="146">
        <f t="shared" si="76"/>
        <v>116932.64144999997</v>
      </c>
      <c r="P295" s="146">
        <f t="shared" si="76"/>
        <v>-32986.048559999996</v>
      </c>
      <c r="Q295" s="146">
        <f t="shared" si="76"/>
        <v>0</v>
      </c>
      <c r="R295" s="146">
        <f t="shared" si="76"/>
        <v>705300.94400000002</v>
      </c>
      <c r="S295" s="146">
        <f t="shared" si="76"/>
        <v>-56373822.495489374</v>
      </c>
      <c r="U295" s="56"/>
      <c r="V295" s="135"/>
      <c r="W295" s="136"/>
    </row>
    <row r="296" spans="1:23" ht="14.25" thickTop="1">
      <c r="A296" s="59"/>
      <c r="B296" s="59"/>
      <c r="C296" s="65"/>
      <c r="D296" s="65"/>
      <c r="E296" s="139"/>
      <c r="F296" s="65"/>
      <c r="G296" s="140"/>
      <c r="H296" s="141"/>
      <c r="I296" s="56"/>
      <c r="J296" s="56"/>
      <c r="K296" s="56"/>
      <c r="L296" s="56"/>
      <c r="M296" s="147"/>
      <c r="N296" s="56"/>
      <c r="O296" s="56"/>
      <c r="P296" s="56"/>
      <c r="Q296" s="56"/>
      <c r="R296" s="135"/>
      <c r="S296" s="73" t="str">
        <f>IF((ROUND(S295,0))=(ROUND(S283,0)),"OK","Error in Analysis")</f>
        <v>OK</v>
      </c>
      <c r="U296" s="56"/>
      <c r="V296" s="135"/>
      <c r="W296" s="136"/>
    </row>
    <row r="297" spans="1:23">
      <c r="A297" s="59"/>
      <c r="B297" s="59"/>
      <c r="C297" s="65"/>
      <c r="D297" s="65"/>
      <c r="E297" s="139"/>
      <c r="F297" s="65"/>
      <c r="G297" s="129"/>
      <c r="H297" s="148"/>
      <c r="I297" s="56"/>
      <c r="J297" s="56"/>
      <c r="K297" s="56"/>
      <c r="L297" s="56"/>
      <c r="M297" s="56"/>
      <c r="N297" s="56"/>
      <c r="O297" s="56"/>
      <c r="P297" s="56"/>
      <c r="Q297" s="56"/>
      <c r="R297" s="135" t="s">
        <v>436</v>
      </c>
      <c r="S297" s="136">
        <f>S295-S283</f>
        <v>0</v>
      </c>
      <c r="U297" s="56"/>
      <c r="V297" s="135"/>
      <c r="W297" s="136"/>
    </row>
    <row r="298" spans="1:23">
      <c r="A298" s="59"/>
      <c r="B298" s="59"/>
      <c r="C298" s="65"/>
      <c r="D298" s="65"/>
      <c r="E298" s="139"/>
      <c r="F298" s="65"/>
      <c r="G298" s="149" t="s">
        <v>447</v>
      </c>
      <c r="H298" s="148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U298" s="56"/>
      <c r="V298" s="135"/>
      <c r="W298" s="136"/>
    </row>
    <row r="299" spans="1:23">
      <c r="A299" s="59"/>
      <c r="B299" s="59"/>
      <c r="C299" s="65"/>
      <c r="D299" s="65"/>
      <c r="E299" s="139"/>
      <c r="F299" s="65"/>
      <c r="G299" s="150" t="s">
        <v>448</v>
      </c>
      <c r="H299" s="148"/>
      <c r="I299" s="56"/>
      <c r="J299" s="56">
        <f>J291-((J222*($G306+$G308)))</f>
        <v>1665718.2609999997</v>
      </c>
      <c r="K299" s="56"/>
      <c r="L299" s="56"/>
      <c r="M299" s="56"/>
      <c r="N299" s="56"/>
      <c r="O299" s="56"/>
      <c r="P299" s="56"/>
      <c r="Q299" s="56"/>
      <c r="R299" s="56"/>
      <c r="S299" s="56">
        <f>S291-((S222*($G306+$G308)))</f>
        <v>-49449405.028909542</v>
      </c>
      <c r="U299" s="56"/>
      <c r="V299" s="135"/>
      <c r="W299" s="136"/>
    </row>
    <row r="300" spans="1:23">
      <c r="A300" s="59"/>
      <c r="B300" s="59"/>
      <c r="C300" s="65"/>
      <c r="D300" s="65"/>
      <c r="E300" s="139"/>
      <c r="F300" s="65"/>
      <c r="G300" s="150" t="s">
        <v>449</v>
      </c>
      <c r="H300" s="148"/>
      <c r="I300" s="56"/>
      <c r="J300" s="56">
        <f>J293-(J222*$G307)</f>
        <v>36585.54</v>
      </c>
      <c r="K300" s="56"/>
      <c r="L300" s="56"/>
      <c r="M300" s="56"/>
      <c r="N300" s="56"/>
      <c r="O300" s="56"/>
      <c r="P300" s="56"/>
      <c r="Q300" s="56"/>
      <c r="R300" s="56"/>
      <c r="S300" s="56">
        <f>S293-(S222*$G307)</f>
        <v>-7198989.7000187011</v>
      </c>
      <c r="U300" s="56"/>
      <c r="V300" s="135"/>
      <c r="W300" s="136"/>
    </row>
    <row r="301" spans="1:23">
      <c r="A301" s="59"/>
      <c r="B301" s="59"/>
      <c r="C301" s="65"/>
      <c r="D301" s="65"/>
      <c r="E301" s="65"/>
      <c r="F301" s="6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135"/>
      <c r="W301" s="136"/>
    </row>
    <row r="302" spans="1:23">
      <c r="A302" s="59"/>
      <c r="B302" s="59"/>
      <c r="C302" s="65"/>
      <c r="D302" s="65"/>
      <c r="E302" s="65"/>
      <c r="F302" s="6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135"/>
      <c r="W302" s="136"/>
    </row>
    <row r="303" spans="1:23">
      <c r="A303" s="59"/>
      <c r="B303" s="59"/>
      <c r="C303" s="65"/>
      <c r="D303" s="65"/>
      <c r="E303" s="65"/>
      <c r="F303" s="6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135"/>
      <c r="W303" s="136"/>
    </row>
    <row r="304" spans="1:23" ht="14.25" thickBot="1">
      <c r="A304" s="59"/>
      <c r="B304" s="59"/>
      <c r="C304" s="65"/>
      <c r="D304" s="65"/>
      <c r="E304" s="65"/>
      <c r="F304" s="6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135"/>
      <c r="W304" s="136"/>
    </row>
    <row r="305" spans="1:26" ht="14.25" thickBot="1">
      <c r="A305" s="59"/>
      <c r="B305" s="151" t="s">
        <v>450</v>
      </c>
      <c r="C305" s="152"/>
      <c r="D305" s="152"/>
      <c r="E305" s="152"/>
      <c r="F305" s="153"/>
      <c r="G305" s="7" t="s">
        <v>7</v>
      </c>
      <c r="H305" s="7" t="s">
        <v>3</v>
      </c>
      <c r="I305" s="154" t="s">
        <v>451</v>
      </c>
      <c r="R305" s="56"/>
      <c r="T305" s="56"/>
      <c r="U305" s="56"/>
      <c r="X305" s="56"/>
      <c r="Y305" s="56"/>
      <c r="Z305" s="58"/>
    </row>
    <row r="306" spans="1:26">
      <c r="B306" s="155" t="s">
        <v>452</v>
      </c>
      <c r="C306" s="156"/>
      <c r="D306" s="156"/>
      <c r="E306" s="156"/>
      <c r="F306" s="157" t="s">
        <v>453</v>
      </c>
      <c r="G306" s="158">
        <v>0.35</v>
      </c>
      <c r="H306" s="158">
        <v>0.35</v>
      </c>
      <c r="I306" s="159">
        <f>G306-H306</f>
        <v>0</v>
      </c>
      <c r="J306" s="160" t="s">
        <v>454</v>
      </c>
      <c r="V306" s="82"/>
      <c r="W306" s="161"/>
    </row>
    <row r="307" spans="1:26" ht="15">
      <c r="B307" s="162" t="s">
        <v>455</v>
      </c>
      <c r="C307" s="10"/>
      <c r="D307" s="304" t="s">
        <v>456</v>
      </c>
      <c r="E307" s="304"/>
      <c r="F307" s="163" t="s">
        <v>457</v>
      </c>
      <c r="G307" s="164">
        <v>0.06</v>
      </c>
      <c r="H307" s="164">
        <v>0.06</v>
      </c>
      <c r="I307" s="165">
        <f>G307-H307</f>
        <v>0</v>
      </c>
      <c r="J307" s="160" t="s">
        <v>458</v>
      </c>
      <c r="V307" s="82"/>
      <c r="W307" s="161"/>
    </row>
    <row r="308" spans="1:26">
      <c r="B308" s="162" t="s">
        <v>459</v>
      </c>
      <c r="C308" s="166"/>
      <c r="D308" s="166"/>
      <c r="E308" s="166"/>
      <c r="F308" s="163" t="s">
        <v>460</v>
      </c>
      <c r="G308" s="164">
        <f>-G307*G306</f>
        <v>-2.0999999999999998E-2</v>
      </c>
      <c r="H308" s="164">
        <f>-H307*H306</f>
        <v>-2.0999999999999998E-2</v>
      </c>
      <c r="I308" s="165">
        <f>G308-H308</f>
        <v>0</v>
      </c>
      <c r="J308" s="160" t="s">
        <v>461</v>
      </c>
      <c r="U308" s="58"/>
      <c r="V308" s="56"/>
      <c r="W308" s="161"/>
    </row>
    <row r="309" spans="1:26" ht="14.25" thickBot="1">
      <c r="B309" s="167" t="s">
        <v>462</v>
      </c>
      <c r="C309" s="168"/>
      <c r="D309" s="168"/>
      <c r="E309" s="168"/>
      <c r="F309" s="169"/>
      <c r="G309" s="170">
        <f>SUM(G306:G308)</f>
        <v>0.38899999999999996</v>
      </c>
      <c r="H309" s="170">
        <f>SUM(H306:H308)</f>
        <v>0.38899999999999996</v>
      </c>
      <c r="I309" s="171">
        <f>SUM(I306:I308)</f>
        <v>0</v>
      </c>
      <c r="J309" s="160" t="s">
        <v>463</v>
      </c>
      <c r="Q309" s="172" t="s">
        <v>464</v>
      </c>
      <c r="V309" s="83"/>
      <c r="W309" s="161"/>
    </row>
    <row r="310" spans="1:26" ht="14.25" thickBot="1">
      <c r="V310" s="82"/>
      <c r="W310" s="161"/>
    </row>
    <row r="311" spans="1:26" thickBot="1">
      <c r="A311" s="151" t="s">
        <v>465</v>
      </c>
      <c r="B311" s="173"/>
      <c r="C311" s="174"/>
      <c r="D311" s="174"/>
      <c r="E311" s="175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6"/>
      <c r="T311" s="56"/>
      <c r="U311" s="56"/>
      <c r="W311" s="177" t="s">
        <v>466</v>
      </c>
      <c r="X311" s="135"/>
      <c r="Y311" s="136"/>
    </row>
    <row r="312" spans="1:26">
      <c r="A312" s="178"/>
      <c r="B312" s="166"/>
      <c r="C312" s="179"/>
      <c r="D312" s="180"/>
      <c r="E312" s="139"/>
      <c r="F312" s="181"/>
      <c r="G312" s="182"/>
      <c r="H312" s="112"/>
      <c r="I312" s="183"/>
      <c r="J312" s="183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W312" s="184"/>
      <c r="X312" s="135"/>
      <c r="Y312" s="136"/>
    </row>
    <row r="313" spans="1:26">
      <c r="A313" s="185" t="s">
        <v>467</v>
      </c>
      <c r="B313" s="186"/>
      <c r="C313" s="186"/>
      <c r="D313" s="187"/>
      <c r="E313" s="188"/>
      <c r="F313" s="189"/>
      <c r="G313" s="103"/>
      <c r="H313" s="56"/>
      <c r="I313" s="83"/>
      <c r="J313" s="83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W313" s="190"/>
      <c r="X313" s="135"/>
      <c r="Y313" s="136"/>
    </row>
    <row r="314" spans="1:26" ht="12.75">
      <c r="A314" s="191" t="s">
        <v>468</v>
      </c>
      <c r="B314" s="192"/>
      <c r="C314" s="193"/>
      <c r="D314" s="193" t="s">
        <v>469</v>
      </c>
      <c r="E314" s="194"/>
      <c r="F314" s="195" t="s">
        <v>470</v>
      </c>
      <c r="G314" s="196">
        <f>SUM(G315:G319)</f>
        <v>23752082.465999994</v>
      </c>
      <c r="H314" s="196">
        <f>SUM(H315:H319)</f>
        <v>0</v>
      </c>
      <c r="I314" s="196">
        <f t="shared" ref="I314:S314" si="77">SUM(I315:I319)</f>
        <v>6.9849193096160889E-10</v>
      </c>
      <c r="J314" s="196">
        <f>SUM(J315:J319)</f>
        <v>876858.5149999999</v>
      </c>
      <c r="K314" s="196">
        <f t="shared" si="77"/>
        <v>0</v>
      </c>
      <c r="L314" s="196">
        <f t="shared" si="77"/>
        <v>0</v>
      </c>
      <c r="M314" s="196">
        <f>SUM(M315:M319)</f>
        <v>24628940.980999995</v>
      </c>
      <c r="N314" s="196">
        <f t="shared" si="77"/>
        <v>-461027.83516999986</v>
      </c>
      <c r="O314" s="196">
        <f t="shared" si="77"/>
        <v>0</v>
      </c>
      <c r="P314" s="196">
        <f t="shared" si="77"/>
        <v>0</v>
      </c>
      <c r="Q314" s="196">
        <f t="shared" si="77"/>
        <v>0</v>
      </c>
      <c r="R314" s="196">
        <f t="shared" si="77"/>
        <v>0</v>
      </c>
      <c r="S314" s="196">
        <f t="shared" si="77"/>
        <v>24167913.145829994</v>
      </c>
      <c r="T314" s="56"/>
      <c r="U314" s="56"/>
      <c r="W314" s="197"/>
      <c r="X314" s="135"/>
      <c r="Y314" s="136"/>
    </row>
    <row r="315" spans="1:26" ht="12.75">
      <c r="A315" s="198" t="s">
        <v>471</v>
      </c>
      <c r="B315" s="199"/>
      <c r="C315" s="18"/>
      <c r="D315" s="18" t="s">
        <v>196</v>
      </c>
      <c r="E315" s="139">
        <f>G309</f>
        <v>0.38899999999999996</v>
      </c>
      <c r="F315" s="181"/>
      <c r="G315" s="180">
        <f t="shared" ref="G315:H320" si="78">SUMIF($E$11:$E$283,$D315,G$11:G$283)*$W315</f>
        <v>23752082.465999994</v>
      </c>
      <c r="H315" s="180">
        <f t="shared" si="78"/>
        <v>0</v>
      </c>
      <c r="I315" s="180">
        <f t="shared" ref="I315:I320" si="79">M315-G315-H315-J315-K315-L315</f>
        <v>6.9849193096160889E-10</v>
      </c>
      <c r="J315" s="180">
        <f t="shared" ref="J315:J320" si="80">SUMIF($E$11:$E$283,$D315,J$11:J$283)*$W315</f>
        <v>876858.5149999999</v>
      </c>
      <c r="K315" s="180">
        <f t="shared" ref="K315:S320" si="81">SUMIF($E$11:$E$283,$D315,K$11:K$283)*$E315</f>
        <v>0</v>
      </c>
      <c r="L315" s="180">
        <f t="shared" si="81"/>
        <v>0</v>
      </c>
      <c r="M315" s="180">
        <f t="shared" si="81"/>
        <v>24628940.980999995</v>
      </c>
      <c r="N315" s="180">
        <f t="shared" si="81"/>
        <v>-461027.83516999986</v>
      </c>
      <c r="O315" s="180">
        <f t="shared" si="81"/>
        <v>0</v>
      </c>
      <c r="P315" s="180">
        <f t="shared" si="81"/>
        <v>0</v>
      </c>
      <c r="Q315" s="180">
        <f t="shared" si="81"/>
        <v>0</v>
      </c>
      <c r="R315" s="180">
        <f t="shared" si="81"/>
        <v>0</v>
      </c>
      <c r="S315" s="180">
        <f t="shared" si="81"/>
        <v>24167913.145829994</v>
      </c>
      <c r="T315" s="56"/>
      <c r="U315" s="56">
        <f t="shared" ref="U315:U320" si="82">M315/E315</f>
        <v>63313472.958868891</v>
      </c>
      <c r="W315" s="184">
        <f>H309</f>
        <v>0.38899999999999996</v>
      </c>
      <c r="X315" s="135"/>
      <c r="Y315" s="136"/>
    </row>
    <row r="316" spans="1:26" ht="12.75">
      <c r="A316" s="198" t="s">
        <v>472</v>
      </c>
      <c r="B316" s="199"/>
      <c r="C316" s="18"/>
      <c r="D316" s="18" t="s">
        <v>473</v>
      </c>
      <c r="E316" s="139">
        <f>$E$315</f>
        <v>0.38899999999999996</v>
      </c>
      <c r="F316" s="181"/>
      <c r="G316" s="180">
        <f t="shared" si="78"/>
        <v>0</v>
      </c>
      <c r="H316" s="180">
        <f t="shared" si="78"/>
        <v>0</v>
      </c>
      <c r="I316" s="180">
        <f t="shared" si="79"/>
        <v>0</v>
      </c>
      <c r="J316" s="180">
        <f t="shared" si="80"/>
        <v>0</v>
      </c>
      <c r="K316" s="180">
        <f t="shared" si="81"/>
        <v>0</v>
      </c>
      <c r="L316" s="180">
        <f t="shared" si="81"/>
        <v>0</v>
      </c>
      <c r="M316" s="180">
        <f t="shared" si="81"/>
        <v>0</v>
      </c>
      <c r="N316" s="180">
        <f t="shared" si="81"/>
        <v>0</v>
      </c>
      <c r="O316" s="180">
        <f t="shared" si="81"/>
        <v>0</v>
      </c>
      <c r="P316" s="180">
        <f t="shared" si="81"/>
        <v>0</v>
      </c>
      <c r="Q316" s="180">
        <f t="shared" si="81"/>
        <v>0</v>
      </c>
      <c r="R316" s="180">
        <f t="shared" si="81"/>
        <v>0</v>
      </c>
      <c r="S316" s="180">
        <f t="shared" si="81"/>
        <v>0</v>
      </c>
      <c r="T316" s="56"/>
      <c r="U316" s="56">
        <f t="shared" si="82"/>
        <v>0</v>
      </c>
      <c r="W316" s="184">
        <f>$W$315</f>
        <v>0.38899999999999996</v>
      </c>
      <c r="X316" s="135"/>
      <c r="Y316" s="136"/>
    </row>
    <row r="317" spans="1:26" ht="12.75">
      <c r="A317" s="198" t="s">
        <v>474</v>
      </c>
      <c r="B317" s="199"/>
      <c r="C317" s="18"/>
      <c r="D317" s="18" t="s">
        <v>475</v>
      </c>
      <c r="E317" s="139">
        <f>$E$315</f>
        <v>0.38899999999999996</v>
      </c>
      <c r="F317" s="181"/>
      <c r="G317" s="180">
        <f t="shared" si="78"/>
        <v>0</v>
      </c>
      <c r="H317" s="180">
        <f t="shared" si="78"/>
        <v>0</v>
      </c>
      <c r="I317" s="180">
        <f t="shared" si="79"/>
        <v>0</v>
      </c>
      <c r="J317" s="180">
        <f t="shared" si="80"/>
        <v>0</v>
      </c>
      <c r="K317" s="180">
        <f t="shared" si="81"/>
        <v>0</v>
      </c>
      <c r="L317" s="180">
        <f t="shared" si="81"/>
        <v>0</v>
      </c>
      <c r="M317" s="180">
        <f t="shared" si="81"/>
        <v>0</v>
      </c>
      <c r="N317" s="180">
        <f t="shared" si="81"/>
        <v>0</v>
      </c>
      <c r="O317" s="180">
        <f t="shared" si="81"/>
        <v>0</v>
      </c>
      <c r="P317" s="180">
        <f t="shared" si="81"/>
        <v>0</v>
      </c>
      <c r="Q317" s="180">
        <f t="shared" si="81"/>
        <v>0</v>
      </c>
      <c r="R317" s="180">
        <f t="shared" si="81"/>
        <v>0</v>
      </c>
      <c r="S317" s="180">
        <f t="shared" si="81"/>
        <v>0</v>
      </c>
      <c r="T317" s="56"/>
      <c r="U317" s="56">
        <f t="shared" si="82"/>
        <v>0</v>
      </c>
      <c r="W317" s="184">
        <f>$W$315</f>
        <v>0.38899999999999996</v>
      </c>
      <c r="X317" s="135"/>
      <c r="Y317" s="136"/>
    </row>
    <row r="318" spans="1:26" ht="12.75">
      <c r="A318" s="198" t="s">
        <v>476</v>
      </c>
      <c r="B318" s="199"/>
      <c r="C318" s="18"/>
      <c r="D318" s="18" t="s">
        <v>477</v>
      </c>
      <c r="E318" s="139">
        <f>$E$315</f>
        <v>0.38899999999999996</v>
      </c>
      <c r="F318" s="181"/>
      <c r="G318" s="180">
        <f t="shared" si="78"/>
        <v>0</v>
      </c>
      <c r="H318" s="180">
        <f t="shared" si="78"/>
        <v>0</v>
      </c>
      <c r="I318" s="180">
        <f t="shared" si="79"/>
        <v>0</v>
      </c>
      <c r="J318" s="180">
        <f t="shared" si="80"/>
        <v>0</v>
      </c>
      <c r="K318" s="180">
        <f t="shared" si="81"/>
        <v>0</v>
      </c>
      <c r="L318" s="180">
        <f t="shared" si="81"/>
        <v>0</v>
      </c>
      <c r="M318" s="180">
        <f t="shared" si="81"/>
        <v>0</v>
      </c>
      <c r="N318" s="180">
        <f t="shared" si="81"/>
        <v>0</v>
      </c>
      <c r="O318" s="180">
        <f t="shared" si="81"/>
        <v>0</v>
      </c>
      <c r="P318" s="180">
        <f t="shared" si="81"/>
        <v>0</v>
      </c>
      <c r="Q318" s="180">
        <f t="shared" si="81"/>
        <v>0</v>
      </c>
      <c r="R318" s="180">
        <f t="shared" si="81"/>
        <v>0</v>
      </c>
      <c r="S318" s="180">
        <f t="shared" si="81"/>
        <v>0</v>
      </c>
      <c r="T318" s="56"/>
      <c r="U318" s="56">
        <f t="shared" si="82"/>
        <v>0</v>
      </c>
      <c r="W318" s="184">
        <f>$W$315</f>
        <v>0.38899999999999996</v>
      </c>
      <c r="X318" s="135"/>
      <c r="Y318" s="136"/>
    </row>
    <row r="319" spans="1:26" ht="12.75">
      <c r="A319" s="200" t="s">
        <v>478</v>
      </c>
      <c r="B319" s="199"/>
      <c r="C319" s="201"/>
      <c r="D319" s="201"/>
      <c r="E319" s="139">
        <f>$E$315</f>
        <v>0.38899999999999996</v>
      </c>
      <c r="F319" s="181"/>
      <c r="G319" s="180">
        <f t="shared" si="78"/>
        <v>0</v>
      </c>
      <c r="H319" s="180">
        <f t="shared" si="78"/>
        <v>0</v>
      </c>
      <c r="I319" s="180">
        <f t="shared" si="79"/>
        <v>0</v>
      </c>
      <c r="J319" s="180">
        <f t="shared" si="80"/>
        <v>0</v>
      </c>
      <c r="K319" s="180">
        <f t="shared" si="81"/>
        <v>0</v>
      </c>
      <c r="L319" s="180">
        <f t="shared" si="81"/>
        <v>0</v>
      </c>
      <c r="M319" s="180">
        <f t="shared" si="81"/>
        <v>0</v>
      </c>
      <c r="N319" s="180">
        <f t="shared" si="81"/>
        <v>0</v>
      </c>
      <c r="O319" s="180">
        <f t="shared" si="81"/>
        <v>0</v>
      </c>
      <c r="P319" s="180">
        <f t="shared" si="81"/>
        <v>0</v>
      </c>
      <c r="Q319" s="180">
        <f t="shared" si="81"/>
        <v>0</v>
      </c>
      <c r="R319" s="180">
        <f t="shared" si="81"/>
        <v>0</v>
      </c>
      <c r="S319" s="180">
        <f t="shared" si="81"/>
        <v>0</v>
      </c>
      <c r="T319" s="56"/>
      <c r="U319" s="56">
        <f t="shared" si="82"/>
        <v>0</v>
      </c>
      <c r="W319" s="184">
        <f>$W$315</f>
        <v>0.38899999999999996</v>
      </c>
      <c r="X319" s="135"/>
      <c r="Y319" s="136"/>
    </row>
    <row r="320" spans="1:26" ht="12.75">
      <c r="A320" s="191" t="s">
        <v>479</v>
      </c>
      <c r="B320" s="192"/>
      <c r="C320" s="193"/>
      <c r="D320" s="193" t="s">
        <v>316</v>
      </c>
      <c r="E320" s="194">
        <f>$E$315</f>
        <v>0.38899999999999996</v>
      </c>
      <c r="F320" s="195" t="s">
        <v>470</v>
      </c>
      <c r="G320" s="196">
        <f t="shared" si="78"/>
        <v>341784.17972999992</v>
      </c>
      <c r="H320" s="196">
        <f t="shared" si="78"/>
        <v>0</v>
      </c>
      <c r="I320" s="196">
        <f t="shared" si="79"/>
        <v>0</v>
      </c>
      <c r="J320" s="196">
        <f t="shared" si="80"/>
        <v>0</v>
      </c>
      <c r="K320" s="196">
        <f t="shared" si="81"/>
        <v>0</v>
      </c>
      <c r="L320" s="196">
        <f t="shared" si="81"/>
        <v>0</v>
      </c>
      <c r="M320" s="196">
        <f t="shared" si="81"/>
        <v>341784.17972999992</v>
      </c>
      <c r="N320" s="196">
        <f t="shared" si="81"/>
        <v>0</v>
      </c>
      <c r="O320" s="196">
        <f t="shared" si="81"/>
        <v>0</v>
      </c>
      <c r="P320" s="196">
        <f t="shared" si="81"/>
        <v>-32986.048560000003</v>
      </c>
      <c r="Q320" s="196">
        <f t="shared" si="81"/>
        <v>0</v>
      </c>
      <c r="R320" s="196">
        <f t="shared" si="81"/>
        <v>0</v>
      </c>
      <c r="S320" s="196">
        <f t="shared" si="81"/>
        <v>308798.13116999995</v>
      </c>
      <c r="T320" s="56"/>
      <c r="U320" s="56">
        <f t="shared" si="82"/>
        <v>878622.56999999983</v>
      </c>
      <c r="W320" s="197">
        <f>$W$315</f>
        <v>0.38899999999999996</v>
      </c>
      <c r="X320" s="135"/>
      <c r="Y320" s="136"/>
    </row>
    <row r="321" spans="1:28" ht="12.75">
      <c r="A321" s="191" t="s">
        <v>480</v>
      </c>
      <c r="B321" s="192"/>
      <c r="C321" s="193"/>
      <c r="D321" s="193" t="s">
        <v>481</v>
      </c>
      <c r="E321" s="194"/>
      <c r="F321" s="195" t="s">
        <v>470</v>
      </c>
      <c r="G321" s="196">
        <f>SUM(G322:G324)</f>
        <v>531199.10503789247</v>
      </c>
      <c r="H321" s="196">
        <f>SUM(H322:H324)</f>
        <v>0</v>
      </c>
      <c r="I321" s="196">
        <f t="shared" ref="I321:S321" si="83">SUM(I322:I324)</f>
        <v>0</v>
      </c>
      <c r="J321" s="196">
        <f>SUM(J322:J324)</f>
        <v>0</v>
      </c>
      <c r="K321" s="196">
        <f t="shared" si="83"/>
        <v>0</v>
      </c>
      <c r="L321" s="196">
        <f t="shared" si="83"/>
        <v>0</v>
      </c>
      <c r="M321" s="196">
        <f>SUM(M322:M324)</f>
        <v>531199.10503789247</v>
      </c>
      <c r="N321" s="196">
        <f t="shared" si="83"/>
        <v>0</v>
      </c>
      <c r="O321" s="196">
        <f t="shared" si="83"/>
        <v>0</v>
      </c>
      <c r="P321" s="196">
        <f t="shared" si="83"/>
        <v>0</v>
      </c>
      <c r="Q321" s="196">
        <f t="shared" si="83"/>
        <v>0</v>
      </c>
      <c r="R321" s="196">
        <f t="shared" si="83"/>
        <v>0</v>
      </c>
      <c r="S321" s="196">
        <f t="shared" si="83"/>
        <v>531199.10503789247</v>
      </c>
      <c r="T321" s="56"/>
      <c r="U321" s="56"/>
      <c r="W321" s="197"/>
      <c r="Z321" s="56"/>
      <c r="AA321" s="56"/>
      <c r="AB321" s="58"/>
    </row>
    <row r="322" spans="1:28" ht="12.75">
      <c r="A322" s="198" t="s">
        <v>482</v>
      </c>
      <c r="B322" s="199"/>
      <c r="C322" s="18"/>
      <c r="D322" s="18" t="s">
        <v>173</v>
      </c>
      <c r="E322" s="139">
        <f>$E$315</f>
        <v>0.38899999999999996</v>
      </c>
      <c r="F322" s="181"/>
      <c r="G322" s="180">
        <f t="shared" ref="G322:H324" si="84">SUMIF($E$11:$E$283,$D322,G$11:G$283)*$W322</f>
        <v>190470.13059789257</v>
      </c>
      <c r="H322" s="180">
        <f t="shared" si="84"/>
        <v>0</v>
      </c>
      <c r="I322" s="180">
        <f>M322-G322-H322-J322-K322-L322</f>
        <v>0</v>
      </c>
      <c r="J322" s="180">
        <f>SUMIF($E$11:$E$283,$D322,J$11:J$283)*$W322</f>
        <v>0</v>
      </c>
      <c r="K322" s="180">
        <f t="shared" ref="K322:S324" si="85">SUMIF($E$11:$E$283,$D322,K$11:K$283)*$E322</f>
        <v>0</v>
      </c>
      <c r="L322" s="180">
        <f t="shared" si="85"/>
        <v>0</v>
      </c>
      <c r="M322" s="180">
        <f t="shared" si="85"/>
        <v>190470.13059789257</v>
      </c>
      <c r="N322" s="180">
        <f t="shared" si="85"/>
        <v>0</v>
      </c>
      <c r="O322" s="180">
        <f t="shared" si="85"/>
        <v>0</v>
      </c>
      <c r="P322" s="180">
        <f t="shared" si="85"/>
        <v>0</v>
      </c>
      <c r="Q322" s="180">
        <f t="shared" si="85"/>
        <v>0</v>
      </c>
      <c r="R322" s="180">
        <f t="shared" si="85"/>
        <v>0</v>
      </c>
      <c r="S322" s="180">
        <f t="shared" si="85"/>
        <v>190470.13059789257</v>
      </c>
      <c r="U322" s="56">
        <f>M322/E322</f>
        <v>489640.43855499377</v>
      </c>
      <c r="W322" s="184">
        <f>$W$315</f>
        <v>0.38899999999999996</v>
      </c>
      <c r="X322" s="82"/>
      <c r="Y322" s="161"/>
    </row>
    <row r="323" spans="1:28" ht="12.75">
      <c r="A323" s="198" t="s">
        <v>483</v>
      </c>
      <c r="B323" s="199"/>
      <c r="C323" s="18"/>
      <c r="D323" s="18" t="s">
        <v>211</v>
      </c>
      <c r="E323" s="139">
        <f>$E$315</f>
        <v>0.38899999999999996</v>
      </c>
      <c r="F323" s="181"/>
      <c r="G323" s="180">
        <f t="shared" si="84"/>
        <v>340728.97443999996</v>
      </c>
      <c r="H323" s="180">
        <f t="shared" si="84"/>
        <v>0</v>
      </c>
      <c r="I323" s="180">
        <f>M323-G323-H323-J323-K323-L323</f>
        <v>0</v>
      </c>
      <c r="J323" s="180">
        <f>SUMIF($E$11:$E$283,$D323,J$11:J$283)*$W323</f>
        <v>0</v>
      </c>
      <c r="K323" s="180">
        <f t="shared" si="85"/>
        <v>0</v>
      </c>
      <c r="L323" s="180">
        <f t="shared" si="85"/>
        <v>0</v>
      </c>
      <c r="M323" s="180">
        <f t="shared" si="85"/>
        <v>340728.97443999996</v>
      </c>
      <c r="N323" s="180">
        <f t="shared" si="85"/>
        <v>0</v>
      </c>
      <c r="O323" s="180">
        <f t="shared" si="85"/>
        <v>0</v>
      </c>
      <c r="P323" s="180">
        <f t="shared" si="85"/>
        <v>0</v>
      </c>
      <c r="Q323" s="180">
        <f t="shared" si="85"/>
        <v>0</v>
      </c>
      <c r="R323" s="180">
        <f t="shared" si="85"/>
        <v>0</v>
      </c>
      <c r="S323" s="180">
        <f t="shared" si="85"/>
        <v>340728.97443999996</v>
      </c>
      <c r="U323" s="56">
        <f>M323/E323</f>
        <v>875909.96</v>
      </c>
      <c r="W323" s="184">
        <f>$W$315</f>
        <v>0.38899999999999996</v>
      </c>
      <c r="X323" s="82"/>
      <c r="Y323" s="161"/>
    </row>
    <row r="324" spans="1:28" ht="12.75">
      <c r="A324" s="198" t="s">
        <v>484</v>
      </c>
      <c r="B324" s="199"/>
      <c r="C324" s="18"/>
      <c r="D324" s="18" t="s">
        <v>485</v>
      </c>
      <c r="E324" s="139">
        <f>$E$315</f>
        <v>0.38899999999999996</v>
      </c>
      <c r="F324" s="181"/>
      <c r="G324" s="180">
        <f t="shared" si="84"/>
        <v>0</v>
      </c>
      <c r="H324" s="180">
        <f t="shared" si="84"/>
        <v>0</v>
      </c>
      <c r="I324" s="180">
        <f>M324-G324-H324-J324-K324-L324</f>
        <v>0</v>
      </c>
      <c r="J324" s="180">
        <f>SUMIF($E$11:$E$283,$D324,J$11:J$283)*$W324</f>
        <v>0</v>
      </c>
      <c r="K324" s="180">
        <f t="shared" si="85"/>
        <v>0</v>
      </c>
      <c r="L324" s="180">
        <f t="shared" si="85"/>
        <v>0</v>
      </c>
      <c r="M324" s="180">
        <f t="shared" si="85"/>
        <v>0</v>
      </c>
      <c r="N324" s="180">
        <f t="shared" si="85"/>
        <v>0</v>
      </c>
      <c r="O324" s="180">
        <f t="shared" si="85"/>
        <v>0</v>
      </c>
      <c r="P324" s="180">
        <f t="shared" si="85"/>
        <v>0</v>
      </c>
      <c r="Q324" s="180">
        <f t="shared" si="85"/>
        <v>0</v>
      </c>
      <c r="R324" s="180">
        <f t="shared" si="85"/>
        <v>0</v>
      </c>
      <c r="S324" s="180">
        <f t="shared" si="85"/>
        <v>0</v>
      </c>
      <c r="U324" s="56">
        <f>M324/E324</f>
        <v>0</v>
      </c>
      <c r="W324" s="184">
        <f>$W$315</f>
        <v>0.38899999999999996</v>
      </c>
      <c r="X324" s="56"/>
      <c r="Y324" s="161"/>
    </row>
    <row r="325" spans="1:28" ht="12.75">
      <c r="A325" s="191" t="s">
        <v>486</v>
      </c>
      <c r="B325" s="193"/>
      <c r="C325" s="193"/>
      <c r="D325" s="193" t="s">
        <v>487</v>
      </c>
      <c r="E325" s="194"/>
      <c r="F325" s="195" t="s">
        <v>470</v>
      </c>
      <c r="G325" s="196">
        <f>SUM(G326:G338)</f>
        <v>483112.17153497017</v>
      </c>
      <c r="H325" s="196">
        <f>SUM(H326:H338)</f>
        <v>721981.88040626934</v>
      </c>
      <c r="I325" s="196">
        <f t="shared" ref="I325:S325" si="86">SUM(I326:I338)</f>
        <v>7.2759576141834259E-11</v>
      </c>
      <c r="J325" s="196">
        <f>SUM(J326:J338)</f>
        <v>475075.66399999987</v>
      </c>
      <c r="K325" s="196">
        <f t="shared" si="86"/>
        <v>58192.368000000002</v>
      </c>
      <c r="L325" s="196">
        <f t="shared" si="86"/>
        <v>0</v>
      </c>
      <c r="M325" s="196">
        <f>SUM(M326:M338)</f>
        <v>1738362.0839412399</v>
      </c>
      <c r="N325" s="196">
        <f t="shared" si="86"/>
        <v>0</v>
      </c>
      <c r="O325" s="196">
        <f t="shared" si="86"/>
        <v>0</v>
      </c>
      <c r="P325" s="196">
        <f t="shared" si="86"/>
        <v>0</v>
      </c>
      <c r="Q325" s="196">
        <f t="shared" si="86"/>
        <v>0</v>
      </c>
      <c r="R325" s="196">
        <f t="shared" si="86"/>
        <v>0</v>
      </c>
      <c r="S325" s="196">
        <f t="shared" si="86"/>
        <v>1738362.0839412399</v>
      </c>
      <c r="U325" s="56"/>
      <c r="W325" s="197"/>
      <c r="X325" s="56"/>
      <c r="Y325" s="161"/>
    </row>
    <row r="326" spans="1:28" ht="12.75">
      <c r="A326" s="198" t="s">
        <v>488</v>
      </c>
      <c r="C326" s="199" t="s">
        <v>489</v>
      </c>
      <c r="D326" s="18" t="s">
        <v>325</v>
      </c>
      <c r="E326" s="139">
        <f>G306</f>
        <v>0.35</v>
      </c>
      <c r="F326" s="181"/>
      <c r="G326" s="180">
        <f t="shared" ref="G326:H338" si="87">SUMIF($E$11:$E$283,$D326,G$11:G$283)*$W326</f>
        <v>194048.0471633366</v>
      </c>
      <c r="H326" s="180">
        <f t="shared" si="87"/>
        <v>-30079.587593730659</v>
      </c>
      <c r="I326" s="180">
        <f t="shared" ref="I326:I338" si="88">M326-G326-H326-J326-K326-L326</f>
        <v>1.1641532182693481E-10</v>
      </c>
      <c r="J326" s="180">
        <f t="shared" ref="J326:J338" si="89">SUMIF($E$11:$E$283,$D326,J$11:J$283)*$W326</f>
        <v>573159.64999999991</v>
      </c>
      <c r="K326" s="180">
        <f t="shared" ref="K326:S338" si="90">SUMIF($E$11:$E$283,$D326,K$11:K$283)*$E326</f>
        <v>0</v>
      </c>
      <c r="L326" s="180">
        <f t="shared" si="90"/>
        <v>0</v>
      </c>
      <c r="M326" s="180">
        <f t="shared" si="90"/>
        <v>737128.10956960602</v>
      </c>
      <c r="N326" s="180">
        <f t="shared" si="90"/>
        <v>0</v>
      </c>
      <c r="O326" s="180">
        <f t="shared" si="90"/>
        <v>0</v>
      </c>
      <c r="P326" s="180">
        <f t="shared" si="90"/>
        <v>0</v>
      </c>
      <c r="Q326" s="180">
        <f t="shared" si="90"/>
        <v>0</v>
      </c>
      <c r="R326" s="180">
        <f t="shared" si="90"/>
        <v>0</v>
      </c>
      <c r="S326" s="180">
        <f t="shared" si="90"/>
        <v>737128.10956960602</v>
      </c>
      <c r="U326" s="56">
        <f t="shared" ref="U326:U338" si="91">M326/E326</f>
        <v>2106080.3130560173</v>
      </c>
      <c r="W326" s="184">
        <v>0.35</v>
      </c>
      <c r="X326" s="56"/>
      <c r="Y326" s="161"/>
    </row>
    <row r="327" spans="1:28" ht="12.75">
      <c r="A327" s="198" t="s">
        <v>490</v>
      </c>
      <c r="C327" s="199" t="s">
        <v>489</v>
      </c>
      <c r="D327" s="18" t="s">
        <v>347</v>
      </c>
      <c r="E327" s="139">
        <f>$E$326</f>
        <v>0.35</v>
      </c>
      <c r="F327" s="181"/>
      <c r="G327" s="180">
        <f t="shared" si="87"/>
        <v>0</v>
      </c>
      <c r="H327" s="180">
        <f t="shared" si="87"/>
        <v>0</v>
      </c>
      <c r="I327" s="180">
        <f t="shared" si="88"/>
        <v>0</v>
      </c>
      <c r="J327" s="180">
        <f t="shared" si="89"/>
        <v>0</v>
      </c>
      <c r="K327" s="180">
        <f t="shared" si="90"/>
        <v>0</v>
      </c>
      <c r="L327" s="180">
        <f t="shared" si="90"/>
        <v>0</v>
      </c>
      <c r="M327" s="180">
        <f t="shared" si="90"/>
        <v>0</v>
      </c>
      <c r="N327" s="180">
        <f t="shared" si="90"/>
        <v>0</v>
      </c>
      <c r="O327" s="180">
        <f t="shared" si="90"/>
        <v>0</v>
      </c>
      <c r="P327" s="180">
        <f t="shared" si="90"/>
        <v>0</v>
      </c>
      <c r="Q327" s="180">
        <f t="shared" si="90"/>
        <v>0</v>
      </c>
      <c r="R327" s="180">
        <f t="shared" si="90"/>
        <v>0</v>
      </c>
      <c r="S327" s="180">
        <f t="shared" si="90"/>
        <v>0</v>
      </c>
      <c r="U327" s="56">
        <f t="shared" si="91"/>
        <v>0</v>
      </c>
      <c r="W327" s="184">
        <f>$E$326</f>
        <v>0.35</v>
      </c>
      <c r="X327" s="56"/>
      <c r="Y327" s="161"/>
    </row>
    <row r="328" spans="1:28" ht="12.75">
      <c r="A328" s="198" t="s">
        <v>491</v>
      </c>
      <c r="C328" s="202" t="s">
        <v>492</v>
      </c>
      <c r="D328" s="18" t="s">
        <v>400</v>
      </c>
      <c r="E328" s="139">
        <v>1</v>
      </c>
      <c r="F328" s="181"/>
      <c r="G328" s="180">
        <f t="shared" si="87"/>
        <v>0</v>
      </c>
      <c r="H328" s="180">
        <f t="shared" si="87"/>
        <v>0</v>
      </c>
      <c r="I328" s="180">
        <f t="shared" si="88"/>
        <v>0</v>
      </c>
      <c r="J328" s="180">
        <f t="shared" si="89"/>
        <v>0</v>
      </c>
      <c r="K328" s="180">
        <f t="shared" si="90"/>
        <v>0</v>
      </c>
      <c r="L328" s="180">
        <f t="shared" si="90"/>
        <v>0</v>
      </c>
      <c r="M328" s="180">
        <f t="shared" si="90"/>
        <v>0</v>
      </c>
      <c r="N328" s="180">
        <f t="shared" si="90"/>
        <v>0</v>
      </c>
      <c r="O328" s="180">
        <f t="shared" si="90"/>
        <v>0</v>
      </c>
      <c r="P328" s="180">
        <f t="shared" si="90"/>
        <v>0</v>
      </c>
      <c r="Q328" s="180">
        <f t="shared" si="90"/>
        <v>0</v>
      </c>
      <c r="R328" s="180">
        <f t="shared" si="90"/>
        <v>0</v>
      </c>
      <c r="S328" s="180">
        <f t="shared" si="90"/>
        <v>0</v>
      </c>
      <c r="U328" s="56">
        <f t="shared" si="91"/>
        <v>0</v>
      </c>
      <c r="W328" s="184">
        <v>1</v>
      </c>
      <c r="X328" s="56"/>
      <c r="Y328" s="161"/>
    </row>
    <row r="329" spans="1:28" ht="12.75">
      <c r="A329" s="198" t="s">
        <v>493</v>
      </c>
      <c r="C329" s="202" t="s">
        <v>492</v>
      </c>
      <c r="D329" s="18" t="s">
        <v>494</v>
      </c>
      <c r="E329" s="139">
        <v>1</v>
      </c>
      <c r="F329" s="181"/>
      <c r="G329" s="180">
        <f t="shared" si="87"/>
        <v>0</v>
      </c>
      <c r="H329" s="180">
        <f t="shared" si="87"/>
        <v>0</v>
      </c>
      <c r="I329" s="180">
        <f t="shared" si="88"/>
        <v>0</v>
      </c>
      <c r="J329" s="180">
        <f t="shared" si="89"/>
        <v>0</v>
      </c>
      <c r="K329" s="180">
        <f t="shared" si="90"/>
        <v>0</v>
      </c>
      <c r="L329" s="180">
        <f t="shared" si="90"/>
        <v>0</v>
      </c>
      <c r="M329" s="180">
        <f t="shared" si="90"/>
        <v>0</v>
      </c>
      <c r="N329" s="180">
        <f t="shared" si="90"/>
        <v>0</v>
      </c>
      <c r="O329" s="180">
        <f t="shared" si="90"/>
        <v>0</v>
      </c>
      <c r="P329" s="180">
        <f t="shared" si="90"/>
        <v>0</v>
      </c>
      <c r="Q329" s="180">
        <f t="shared" si="90"/>
        <v>0</v>
      </c>
      <c r="R329" s="180">
        <f t="shared" si="90"/>
        <v>0</v>
      </c>
      <c r="S329" s="180">
        <f t="shared" si="90"/>
        <v>0</v>
      </c>
      <c r="U329" s="56">
        <f t="shared" si="91"/>
        <v>0</v>
      </c>
      <c r="W329" s="184">
        <v>1</v>
      </c>
      <c r="X329" s="56"/>
      <c r="Y329" s="161"/>
    </row>
    <row r="330" spans="1:28" ht="12.75">
      <c r="A330" s="198" t="s">
        <v>495</v>
      </c>
      <c r="C330" s="199" t="s">
        <v>489</v>
      </c>
      <c r="D330" s="18" t="s">
        <v>330</v>
      </c>
      <c r="E330" s="139">
        <f>$E$326</f>
        <v>0.35</v>
      </c>
      <c r="F330" s="181"/>
      <c r="G330" s="180">
        <f t="shared" si="87"/>
        <v>157793.65</v>
      </c>
      <c r="H330" s="180">
        <f t="shared" si="87"/>
        <v>372745.8</v>
      </c>
      <c r="I330" s="180">
        <f t="shared" si="88"/>
        <v>-5.8207660913467407E-11</v>
      </c>
      <c r="J330" s="180">
        <f t="shared" si="89"/>
        <v>0</v>
      </c>
      <c r="K330" s="180">
        <f t="shared" si="90"/>
        <v>0</v>
      </c>
      <c r="L330" s="180">
        <f t="shared" si="90"/>
        <v>0</v>
      </c>
      <c r="M330" s="180">
        <f t="shared" si="90"/>
        <v>530539.44999999995</v>
      </c>
      <c r="N330" s="180">
        <f t="shared" si="90"/>
        <v>0</v>
      </c>
      <c r="O330" s="180">
        <f t="shared" si="90"/>
        <v>0</v>
      </c>
      <c r="P330" s="180">
        <f t="shared" si="90"/>
        <v>0</v>
      </c>
      <c r="Q330" s="180">
        <f t="shared" si="90"/>
        <v>0</v>
      </c>
      <c r="R330" s="180">
        <f t="shared" si="90"/>
        <v>0</v>
      </c>
      <c r="S330" s="180">
        <f t="shared" si="90"/>
        <v>530539.44999999995</v>
      </c>
      <c r="U330" s="56">
        <f t="shared" si="91"/>
        <v>1515827</v>
      </c>
      <c r="W330" s="184">
        <f>$E$326</f>
        <v>0.35</v>
      </c>
      <c r="X330" s="56"/>
      <c r="Y330" s="161"/>
    </row>
    <row r="331" spans="1:28" ht="12.75">
      <c r="A331" s="198" t="s">
        <v>496</v>
      </c>
      <c r="C331" s="202" t="s">
        <v>492</v>
      </c>
      <c r="D331" s="18" t="s">
        <v>403</v>
      </c>
      <c r="E331" s="139">
        <v>1</v>
      </c>
      <c r="F331" s="181"/>
      <c r="G331" s="180">
        <f t="shared" si="87"/>
        <v>21239</v>
      </c>
      <c r="H331" s="180">
        <f t="shared" si="87"/>
        <v>5430</v>
      </c>
      <c r="I331" s="180">
        <f t="shared" si="88"/>
        <v>0</v>
      </c>
      <c r="J331" s="180">
        <f t="shared" si="89"/>
        <v>0</v>
      </c>
      <c r="K331" s="180">
        <f t="shared" si="90"/>
        <v>0</v>
      </c>
      <c r="L331" s="180">
        <f t="shared" si="90"/>
        <v>0</v>
      </c>
      <c r="M331" s="180">
        <f t="shared" si="90"/>
        <v>26669</v>
      </c>
      <c r="N331" s="180">
        <f t="shared" si="90"/>
        <v>0</v>
      </c>
      <c r="O331" s="180">
        <f t="shared" si="90"/>
        <v>0</v>
      </c>
      <c r="P331" s="180">
        <f t="shared" si="90"/>
        <v>0</v>
      </c>
      <c r="Q331" s="180">
        <f t="shared" si="90"/>
        <v>0</v>
      </c>
      <c r="R331" s="180">
        <f t="shared" si="90"/>
        <v>0</v>
      </c>
      <c r="S331" s="180">
        <f t="shared" si="90"/>
        <v>26669</v>
      </c>
      <c r="U331" s="56">
        <f t="shared" si="91"/>
        <v>26669</v>
      </c>
      <c r="W331" s="184">
        <v>1</v>
      </c>
      <c r="X331" s="56"/>
      <c r="Y331" s="161"/>
    </row>
    <row r="332" spans="1:28" ht="12.75">
      <c r="A332" s="198" t="s">
        <v>497</v>
      </c>
      <c r="C332" s="199" t="s">
        <v>489</v>
      </c>
      <c r="D332" s="18" t="s">
        <v>498</v>
      </c>
      <c r="E332" s="139">
        <f>$E$326</f>
        <v>0.35</v>
      </c>
      <c r="F332" s="181"/>
      <c r="G332" s="180">
        <f t="shared" si="87"/>
        <v>0</v>
      </c>
      <c r="H332" s="180">
        <f t="shared" si="87"/>
        <v>0</v>
      </c>
      <c r="I332" s="180">
        <f t="shared" si="88"/>
        <v>0</v>
      </c>
      <c r="J332" s="180">
        <f t="shared" si="89"/>
        <v>0</v>
      </c>
      <c r="K332" s="180">
        <f t="shared" si="90"/>
        <v>0</v>
      </c>
      <c r="L332" s="180">
        <f t="shared" si="90"/>
        <v>0</v>
      </c>
      <c r="M332" s="180">
        <f t="shared" si="90"/>
        <v>0</v>
      </c>
      <c r="N332" s="180">
        <f t="shared" si="90"/>
        <v>0</v>
      </c>
      <c r="O332" s="180">
        <f t="shared" si="90"/>
        <v>0</v>
      </c>
      <c r="P332" s="180">
        <f t="shared" si="90"/>
        <v>0</v>
      </c>
      <c r="Q332" s="180">
        <f t="shared" si="90"/>
        <v>0</v>
      </c>
      <c r="R332" s="180">
        <f t="shared" si="90"/>
        <v>0</v>
      </c>
      <c r="S332" s="180">
        <f t="shared" si="90"/>
        <v>0</v>
      </c>
      <c r="U332" s="56">
        <f t="shared" si="91"/>
        <v>0</v>
      </c>
      <c r="W332" s="184">
        <f>$E$326</f>
        <v>0.35</v>
      </c>
      <c r="X332" s="56"/>
      <c r="Y332" s="161"/>
    </row>
    <row r="333" spans="1:28" ht="12.75">
      <c r="A333" s="198" t="s">
        <v>497</v>
      </c>
      <c r="C333" s="199" t="s">
        <v>489</v>
      </c>
      <c r="D333" s="18" t="s">
        <v>499</v>
      </c>
      <c r="E333" s="139">
        <f>$E$326</f>
        <v>0.35</v>
      </c>
      <c r="F333" s="181"/>
      <c r="G333" s="180">
        <f t="shared" si="87"/>
        <v>0</v>
      </c>
      <c r="H333" s="180">
        <f t="shared" si="87"/>
        <v>0</v>
      </c>
      <c r="I333" s="180">
        <f t="shared" si="88"/>
        <v>0</v>
      </c>
      <c r="J333" s="180">
        <f t="shared" si="89"/>
        <v>0</v>
      </c>
      <c r="K333" s="180">
        <f t="shared" si="90"/>
        <v>0</v>
      </c>
      <c r="L333" s="180">
        <f t="shared" si="90"/>
        <v>0</v>
      </c>
      <c r="M333" s="180">
        <f t="shared" si="90"/>
        <v>0</v>
      </c>
      <c r="N333" s="180">
        <f t="shared" si="90"/>
        <v>0</v>
      </c>
      <c r="O333" s="180">
        <f t="shared" si="90"/>
        <v>0</v>
      </c>
      <c r="P333" s="180">
        <f t="shared" si="90"/>
        <v>0</v>
      </c>
      <c r="Q333" s="180">
        <f t="shared" si="90"/>
        <v>0</v>
      </c>
      <c r="R333" s="180">
        <f t="shared" si="90"/>
        <v>0</v>
      </c>
      <c r="S333" s="180">
        <f t="shared" si="90"/>
        <v>0</v>
      </c>
      <c r="U333" s="56">
        <f t="shared" si="91"/>
        <v>0</v>
      </c>
      <c r="W333" s="184">
        <f>$E$326</f>
        <v>0.35</v>
      </c>
      <c r="X333" s="56"/>
      <c r="Y333" s="161"/>
    </row>
    <row r="334" spans="1:28" ht="12.75">
      <c r="A334" s="198" t="s">
        <v>500</v>
      </c>
      <c r="C334" s="199" t="s">
        <v>501</v>
      </c>
      <c r="D334" s="18" t="s">
        <v>353</v>
      </c>
      <c r="E334" s="139">
        <f>G307+G308</f>
        <v>3.9E-2</v>
      </c>
      <c r="F334" s="181"/>
      <c r="G334" s="180">
        <f t="shared" si="87"/>
        <v>98083.980371633617</v>
      </c>
      <c r="H334" s="180">
        <f t="shared" si="87"/>
        <v>-98083.986000000004</v>
      </c>
      <c r="I334" s="180">
        <f t="shared" si="88"/>
        <v>1.4551915228366852E-11</v>
      </c>
      <c r="J334" s="180">
        <f t="shared" si="89"/>
        <v>-98083.986000000004</v>
      </c>
      <c r="K334" s="180">
        <f t="shared" si="90"/>
        <v>58192.368000000002</v>
      </c>
      <c r="L334" s="180">
        <f t="shared" si="90"/>
        <v>0</v>
      </c>
      <c r="M334" s="180">
        <f t="shared" si="90"/>
        <v>-39891.623628366382</v>
      </c>
      <c r="N334" s="180">
        <f t="shared" si="90"/>
        <v>0</v>
      </c>
      <c r="O334" s="180">
        <f t="shared" si="90"/>
        <v>0</v>
      </c>
      <c r="P334" s="180">
        <f t="shared" si="90"/>
        <v>0</v>
      </c>
      <c r="Q334" s="180">
        <f t="shared" si="90"/>
        <v>0</v>
      </c>
      <c r="R334" s="180">
        <f t="shared" si="90"/>
        <v>0</v>
      </c>
      <c r="S334" s="180">
        <f t="shared" si="90"/>
        <v>-39891.623628366382</v>
      </c>
      <c r="U334" s="56">
        <f t="shared" si="91"/>
        <v>-1022862.1443170867</v>
      </c>
      <c r="W334" s="184">
        <f>H307+H308</f>
        <v>3.9E-2</v>
      </c>
      <c r="X334" s="56"/>
      <c r="Y334" s="161"/>
    </row>
    <row r="335" spans="1:28" ht="12.75">
      <c r="A335" s="198" t="s">
        <v>502</v>
      </c>
      <c r="C335" s="202" t="s">
        <v>492</v>
      </c>
      <c r="D335" s="18" t="s">
        <v>378</v>
      </c>
      <c r="E335" s="139">
        <v>0.65</v>
      </c>
      <c r="F335" s="181"/>
      <c r="G335" s="180">
        <f t="shared" si="87"/>
        <v>0</v>
      </c>
      <c r="H335" s="180">
        <f t="shared" si="87"/>
        <v>0</v>
      </c>
      <c r="I335" s="180">
        <f t="shared" si="88"/>
        <v>0</v>
      </c>
      <c r="J335" s="180">
        <f t="shared" si="89"/>
        <v>0</v>
      </c>
      <c r="K335" s="180">
        <f t="shared" si="90"/>
        <v>0</v>
      </c>
      <c r="L335" s="180">
        <f t="shared" si="90"/>
        <v>0</v>
      </c>
      <c r="M335" s="180">
        <f t="shared" si="90"/>
        <v>0</v>
      </c>
      <c r="N335" s="180">
        <f t="shared" si="90"/>
        <v>0</v>
      </c>
      <c r="O335" s="180">
        <f t="shared" si="90"/>
        <v>0</v>
      </c>
      <c r="P335" s="180">
        <f t="shared" si="90"/>
        <v>0</v>
      </c>
      <c r="Q335" s="180">
        <f t="shared" si="90"/>
        <v>0</v>
      </c>
      <c r="R335" s="180">
        <f t="shared" si="90"/>
        <v>0</v>
      </c>
      <c r="S335" s="180">
        <f t="shared" si="90"/>
        <v>0</v>
      </c>
      <c r="U335" s="56">
        <f t="shared" si="91"/>
        <v>0</v>
      </c>
      <c r="W335" s="184">
        <v>0.65</v>
      </c>
      <c r="X335" s="56"/>
      <c r="Y335" s="161"/>
    </row>
    <row r="336" spans="1:28" ht="12.75">
      <c r="A336" s="198" t="s">
        <v>503</v>
      </c>
      <c r="C336" s="199" t="s">
        <v>501</v>
      </c>
      <c r="D336" s="18" t="s">
        <v>356</v>
      </c>
      <c r="E336" s="139">
        <f>$E$334</f>
        <v>3.9E-2</v>
      </c>
      <c r="F336" s="181"/>
      <c r="G336" s="180">
        <f t="shared" si="87"/>
        <v>11947.494000000001</v>
      </c>
      <c r="H336" s="180">
        <f t="shared" si="87"/>
        <v>471969.65399999998</v>
      </c>
      <c r="I336" s="180">
        <f t="shared" si="88"/>
        <v>0</v>
      </c>
      <c r="J336" s="180">
        <f t="shared" si="89"/>
        <v>0</v>
      </c>
      <c r="K336" s="180">
        <f t="shared" si="90"/>
        <v>0</v>
      </c>
      <c r="L336" s="180">
        <f t="shared" si="90"/>
        <v>0</v>
      </c>
      <c r="M336" s="180">
        <f t="shared" si="90"/>
        <v>483917.14799999999</v>
      </c>
      <c r="N336" s="180">
        <f t="shared" si="90"/>
        <v>0</v>
      </c>
      <c r="O336" s="180">
        <f t="shared" si="90"/>
        <v>0</v>
      </c>
      <c r="P336" s="180">
        <f t="shared" si="90"/>
        <v>0</v>
      </c>
      <c r="Q336" s="180">
        <f t="shared" si="90"/>
        <v>0</v>
      </c>
      <c r="R336" s="180">
        <f t="shared" si="90"/>
        <v>0</v>
      </c>
      <c r="S336" s="180">
        <f t="shared" si="90"/>
        <v>483917.14799999999</v>
      </c>
      <c r="U336" s="56">
        <f t="shared" si="91"/>
        <v>12408132</v>
      </c>
      <c r="W336" s="184">
        <f>$W$334</f>
        <v>3.9E-2</v>
      </c>
      <c r="X336" s="56"/>
      <c r="Y336" s="161"/>
    </row>
    <row r="337" spans="1:25" ht="12.75">
      <c r="A337" s="198" t="s">
        <v>504</v>
      </c>
      <c r="C337" s="199" t="s">
        <v>501</v>
      </c>
      <c r="D337" s="18" t="s">
        <v>359</v>
      </c>
      <c r="E337" s="139">
        <f>$E$334</f>
        <v>3.9E-2</v>
      </c>
      <c r="F337" s="181"/>
      <c r="G337" s="180">
        <f t="shared" si="87"/>
        <v>0</v>
      </c>
      <c r="H337" s="180">
        <f t="shared" si="87"/>
        <v>0</v>
      </c>
      <c r="I337" s="180">
        <f t="shared" si="88"/>
        <v>0</v>
      </c>
      <c r="J337" s="180">
        <f t="shared" si="89"/>
        <v>0</v>
      </c>
      <c r="K337" s="180">
        <f t="shared" si="90"/>
        <v>0</v>
      </c>
      <c r="L337" s="180">
        <f t="shared" si="90"/>
        <v>0</v>
      </c>
      <c r="M337" s="180">
        <f t="shared" si="90"/>
        <v>0</v>
      </c>
      <c r="N337" s="180">
        <f t="shared" si="90"/>
        <v>0</v>
      </c>
      <c r="O337" s="180">
        <f t="shared" si="90"/>
        <v>0</v>
      </c>
      <c r="P337" s="180">
        <f t="shared" si="90"/>
        <v>0</v>
      </c>
      <c r="Q337" s="180">
        <f t="shared" si="90"/>
        <v>0</v>
      </c>
      <c r="R337" s="180">
        <f t="shared" si="90"/>
        <v>0</v>
      </c>
      <c r="S337" s="180">
        <f t="shared" si="90"/>
        <v>0</v>
      </c>
      <c r="U337" s="56">
        <f t="shared" si="91"/>
        <v>0</v>
      </c>
      <c r="W337" s="184">
        <f>$W$334</f>
        <v>3.9E-2</v>
      </c>
      <c r="X337" s="56"/>
      <c r="Y337" s="161"/>
    </row>
    <row r="338" spans="1:25" ht="12.75">
      <c r="A338" s="198" t="s">
        <v>505</v>
      </c>
      <c r="C338" s="199" t="s">
        <v>501</v>
      </c>
      <c r="D338" s="18" t="s">
        <v>506</v>
      </c>
      <c r="E338" s="139">
        <f>$E$315</f>
        <v>0.38899999999999996</v>
      </c>
      <c r="F338" s="181"/>
      <c r="G338" s="180">
        <f t="shared" si="87"/>
        <v>0</v>
      </c>
      <c r="H338" s="180">
        <f t="shared" si="87"/>
        <v>0</v>
      </c>
      <c r="I338" s="180">
        <f t="shared" si="88"/>
        <v>0</v>
      </c>
      <c r="J338" s="180">
        <f t="shared" si="89"/>
        <v>0</v>
      </c>
      <c r="K338" s="180">
        <f t="shared" si="90"/>
        <v>0</v>
      </c>
      <c r="L338" s="180">
        <f t="shared" si="90"/>
        <v>0</v>
      </c>
      <c r="M338" s="180">
        <f t="shared" si="90"/>
        <v>0</v>
      </c>
      <c r="N338" s="180">
        <f t="shared" si="90"/>
        <v>0</v>
      </c>
      <c r="O338" s="180">
        <f t="shared" si="90"/>
        <v>0</v>
      </c>
      <c r="P338" s="180">
        <f t="shared" si="90"/>
        <v>0</v>
      </c>
      <c r="Q338" s="180">
        <f t="shared" si="90"/>
        <v>0</v>
      </c>
      <c r="R338" s="180">
        <f t="shared" si="90"/>
        <v>0</v>
      </c>
      <c r="S338" s="180">
        <f t="shared" si="90"/>
        <v>0</v>
      </c>
      <c r="U338" s="56">
        <f t="shared" si="91"/>
        <v>0</v>
      </c>
      <c r="W338" s="184">
        <f>$W$315</f>
        <v>0.38899999999999996</v>
      </c>
      <c r="X338" s="56"/>
      <c r="Y338" s="161"/>
    </row>
    <row r="339" spans="1:25" ht="12.75">
      <c r="A339" s="191" t="s">
        <v>507</v>
      </c>
      <c r="B339" s="192"/>
      <c r="C339" s="193"/>
      <c r="D339" s="193" t="s">
        <v>508</v>
      </c>
      <c r="E339" s="194"/>
      <c r="F339" s="195" t="s">
        <v>470</v>
      </c>
      <c r="G339" s="196">
        <f>SUM(G340:G345)</f>
        <v>-1103200.4990000001</v>
      </c>
      <c r="H339" s="196">
        <f>SUM(H340:H345)</f>
        <v>30595.238999999998</v>
      </c>
      <c r="I339" s="196">
        <f t="shared" ref="I339:S339" si="92">SUM(I340:I345)</f>
        <v>6.184563972055912E-11</v>
      </c>
      <c r="J339" s="196">
        <f>SUM(J340:J345)</f>
        <v>0</v>
      </c>
      <c r="K339" s="196">
        <f t="shared" si="92"/>
        <v>0</v>
      </c>
      <c r="L339" s="196">
        <f t="shared" si="92"/>
        <v>0</v>
      </c>
      <c r="M339" s="196">
        <f>SUM(M340:M345)</f>
        <v>-1072605.26</v>
      </c>
      <c r="N339" s="196">
        <f t="shared" si="92"/>
        <v>-254631.00148999994</v>
      </c>
      <c r="O339" s="196">
        <f t="shared" si="92"/>
        <v>0</v>
      </c>
      <c r="P339" s="196">
        <f t="shared" si="92"/>
        <v>0</v>
      </c>
      <c r="Q339" s="196">
        <f t="shared" si="92"/>
        <v>0</v>
      </c>
      <c r="R339" s="196">
        <f t="shared" si="92"/>
        <v>0</v>
      </c>
      <c r="S339" s="196">
        <f t="shared" si="92"/>
        <v>-1327236.2614900002</v>
      </c>
      <c r="U339" s="56"/>
      <c r="W339" s="197"/>
      <c r="X339" s="56"/>
      <c r="Y339" s="161"/>
    </row>
    <row r="340" spans="1:25" ht="12.75">
      <c r="A340" s="198" t="s">
        <v>509</v>
      </c>
      <c r="B340" s="199"/>
      <c r="C340" s="18"/>
      <c r="D340" s="18" t="s">
        <v>176</v>
      </c>
      <c r="E340" s="139">
        <f t="shared" ref="E340:E346" si="93">$E$315</f>
        <v>0.38899999999999996</v>
      </c>
      <c r="F340" s="181"/>
      <c r="G340" s="180">
        <f t="shared" ref="G340:H346" si="94">SUMIF($E$11:$E$283,$D340,G$11:G$283)*$W340</f>
        <v>-1891905.2849699999</v>
      </c>
      <c r="H340" s="180">
        <f t="shared" si="94"/>
        <v>30595.238999999998</v>
      </c>
      <c r="I340" s="180">
        <f t="shared" ref="I340:I345" si="95">M340-G340-H340-J340-K340-L340</f>
        <v>6.184563972055912E-11</v>
      </c>
      <c r="J340" s="180">
        <f t="shared" ref="J340:J346" si="96">SUMIF($E$11:$E$283,$D340,J$11:J$283)*$W340</f>
        <v>0</v>
      </c>
      <c r="K340" s="180">
        <f t="shared" ref="K340:S346" si="97">SUMIF($E$11:$E$283,$D340,K$11:K$283)*$E340</f>
        <v>0</v>
      </c>
      <c r="L340" s="180">
        <f t="shared" si="97"/>
        <v>0</v>
      </c>
      <c r="M340" s="180">
        <f t="shared" si="97"/>
        <v>-1861310.0459699999</v>
      </c>
      <c r="N340" s="180">
        <f t="shared" si="97"/>
        <v>-254631.00148999994</v>
      </c>
      <c r="O340" s="180">
        <f t="shared" si="97"/>
        <v>0</v>
      </c>
      <c r="P340" s="180">
        <f t="shared" si="97"/>
        <v>0</v>
      </c>
      <c r="Q340" s="180">
        <f t="shared" si="97"/>
        <v>0</v>
      </c>
      <c r="R340" s="180">
        <f t="shared" si="97"/>
        <v>0</v>
      </c>
      <c r="S340" s="180">
        <f t="shared" si="97"/>
        <v>-2115941.04746</v>
      </c>
      <c r="U340" s="56">
        <f t="shared" ref="U340:U346" si="98">M340/E340</f>
        <v>-4784858.7300000004</v>
      </c>
      <c r="W340" s="184">
        <f t="shared" ref="W340:W346" si="99">$W$315</f>
        <v>0.38899999999999996</v>
      </c>
      <c r="X340" s="56"/>
      <c r="Y340" s="161"/>
    </row>
    <row r="341" spans="1:25" ht="12.75">
      <c r="A341" s="198" t="s">
        <v>510</v>
      </c>
      <c r="B341" s="199"/>
      <c r="C341" s="18"/>
      <c r="D341" s="18" t="s">
        <v>202</v>
      </c>
      <c r="E341" s="139">
        <f t="shared" si="93"/>
        <v>0.38899999999999996</v>
      </c>
      <c r="F341" s="181"/>
      <c r="G341" s="180">
        <f t="shared" si="94"/>
        <v>788704.78596999985</v>
      </c>
      <c r="H341" s="180">
        <f t="shared" si="94"/>
        <v>0</v>
      </c>
      <c r="I341" s="180">
        <f t="shared" si="95"/>
        <v>0</v>
      </c>
      <c r="J341" s="180">
        <f t="shared" si="96"/>
        <v>0</v>
      </c>
      <c r="K341" s="180">
        <f t="shared" si="97"/>
        <v>0</v>
      </c>
      <c r="L341" s="180">
        <f t="shared" si="97"/>
        <v>0</v>
      </c>
      <c r="M341" s="180">
        <f t="shared" si="97"/>
        <v>788704.78596999985</v>
      </c>
      <c r="N341" s="180">
        <f t="shared" si="97"/>
        <v>0</v>
      </c>
      <c r="O341" s="180">
        <f t="shared" si="97"/>
        <v>0</v>
      </c>
      <c r="P341" s="180">
        <f t="shared" si="97"/>
        <v>0</v>
      </c>
      <c r="Q341" s="180">
        <f t="shared" si="97"/>
        <v>0</v>
      </c>
      <c r="R341" s="180">
        <f t="shared" si="97"/>
        <v>0</v>
      </c>
      <c r="S341" s="180">
        <f t="shared" si="97"/>
        <v>788704.78596999985</v>
      </c>
      <c r="U341" s="56">
        <f t="shared" si="98"/>
        <v>2027518.7299999997</v>
      </c>
      <c r="W341" s="184">
        <f t="shared" si="99"/>
        <v>0.38899999999999996</v>
      </c>
      <c r="X341" s="56"/>
      <c r="Y341" s="161"/>
    </row>
    <row r="342" spans="1:25" ht="12.75">
      <c r="A342" s="198" t="s">
        <v>511</v>
      </c>
      <c r="B342" s="199"/>
      <c r="C342" s="18"/>
      <c r="D342" s="18" t="s">
        <v>512</v>
      </c>
      <c r="E342" s="139">
        <f t="shared" si="93"/>
        <v>0.38899999999999996</v>
      </c>
      <c r="F342" s="181"/>
      <c r="G342" s="180">
        <f t="shared" si="94"/>
        <v>0</v>
      </c>
      <c r="H342" s="180">
        <f t="shared" si="94"/>
        <v>0</v>
      </c>
      <c r="I342" s="180">
        <f t="shared" si="95"/>
        <v>0</v>
      </c>
      <c r="J342" s="180">
        <f t="shared" si="96"/>
        <v>0</v>
      </c>
      <c r="K342" s="180">
        <f t="shared" si="97"/>
        <v>0</v>
      </c>
      <c r="L342" s="180">
        <f t="shared" si="97"/>
        <v>0</v>
      </c>
      <c r="M342" s="180">
        <f t="shared" si="97"/>
        <v>0</v>
      </c>
      <c r="N342" s="180">
        <f t="shared" si="97"/>
        <v>0</v>
      </c>
      <c r="O342" s="180">
        <f t="shared" si="97"/>
        <v>0</v>
      </c>
      <c r="P342" s="180">
        <f t="shared" si="97"/>
        <v>0</v>
      </c>
      <c r="Q342" s="180">
        <f t="shared" si="97"/>
        <v>0</v>
      </c>
      <c r="R342" s="180">
        <f t="shared" si="97"/>
        <v>0</v>
      </c>
      <c r="S342" s="180">
        <f t="shared" si="97"/>
        <v>0</v>
      </c>
      <c r="U342" s="56">
        <f t="shared" si="98"/>
        <v>0</v>
      </c>
      <c r="W342" s="184">
        <f t="shared" si="99"/>
        <v>0.38899999999999996</v>
      </c>
      <c r="X342" s="56"/>
      <c r="Y342" s="161"/>
    </row>
    <row r="343" spans="1:25" ht="12.75">
      <c r="A343" s="198" t="s">
        <v>513</v>
      </c>
      <c r="B343" s="199"/>
      <c r="C343" s="18"/>
      <c r="D343" s="18" t="s">
        <v>514</v>
      </c>
      <c r="E343" s="139">
        <f t="shared" si="93"/>
        <v>0.38899999999999996</v>
      </c>
      <c r="F343" s="181"/>
      <c r="G343" s="180">
        <f t="shared" si="94"/>
        <v>0</v>
      </c>
      <c r="H343" s="180">
        <f t="shared" si="94"/>
        <v>0</v>
      </c>
      <c r="I343" s="180">
        <f t="shared" si="95"/>
        <v>0</v>
      </c>
      <c r="J343" s="180">
        <f t="shared" si="96"/>
        <v>0</v>
      </c>
      <c r="K343" s="180">
        <f t="shared" si="97"/>
        <v>0</v>
      </c>
      <c r="L343" s="180">
        <f t="shared" si="97"/>
        <v>0</v>
      </c>
      <c r="M343" s="180">
        <f t="shared" si="97"/>
        <v>0</v>
      </c>
      <c r="N343" s="180">
        <f t="shared" si="97"/>
        <v>0</v>
      </c>
      <c r="O343" s="180">
        <f t="shared" si="97"/>
        <v>0</v>
      </c>
      <c r="P343" s="180">
        <f t="shared" si="97"/>
        <v>0</v>
      </c>
      <c r="Q343" s="180">
        <f t="shared" si="97"/>
        <v>0</v>
      </c>
      <c r="R343" s="180">
        <f t="shared" si="97"/>
        <v>0</v>
      </c>
      <c r="S343" s="180">
        <f t="shared" si="97"/>
        <v>0</v>
      </c>
      <c r="U343" s="56">
        <f t="shared" si="98"/>
        <v>0</v>
      </c>
      <c r="W343" s="184">
        <f t="shared" si="99"/>
        <v>0.38899999999999996</v>
      </c>
      <c r="X343" s="56"/>
      <c r="Y343" s="161"/>
    </row>
    <row r="344" spans="1:25" ht="12.75">
      <c r="A344" s="198" t="s">
        <v>515</v>
      </c>
      <c r="B344" s="199"/>
      <c r="C344" s="18"/>
      <c r="D344" s="18" t="s">
        <v>516</v>
      </c>
      <c r="E344" s="139">
        <f t="shared" si="93"/>
        <v>0.38899999999999996</v>
      </c>
      <c r="F344" s="181"/>
      <c r="G344" s="180">
        <f t="shared" si="94"/>
        <v>0</v>
      </c>
      <c r="H344" s="180">
        <f t="shared" si="94"/>
        <v>0</v>
      </c>
      <c r="I344" s="180">
        <f t="shared" si="95"/>
        <v>0</v>
      </c>
      <c r="J344" s="180">
        <f t="shared" si="96"/>
        <v>0</v>
      </c>
      <c r="K344" s="180">
        <f t="shared" si="97"/>
        <v>0</v>
      </c>
      <c r="L344" s="180">
        <f t="shared" si="97"/>
        <v>0</v>
      </c>
      <c r="M344" s="180">
        <f t="shared" si="97"/>
        <v>0</v>
      </c>
      <c r="N344" s="180">
        <f t="shared" si="97"/>
        <v>0</v>
      </c>
      <c r="O344" s="180">
        <f t="shared" si="97"/>
        <v>0</v>
      </c>
      <c r="P344" s="180">
        <f t="shared" si="97"/>
        <v>0</v>
      </c>
      <c r="Q344" s="180">
        <f t="shared" si="97"/>
        <v>0</v>
      </c>
      <c r="R344" s="180">
        <f t="shared" si="97"/>
        <v>0</v>
      </c>
      <c r="S344" s="180">
        <f t="shared" si="97"/>
        <v>0</v>
      </c>
      <c r="U344" s="56">
        <f t="shared" si="98"/>
        <v>0</v>
      </c>
      <c r="W344" s="184">
        <f t="shared" si="99"/>
        <v>0.38899999999999996</v>
      </c>
      <c r="X344" s="56"/>
      <c r="Y344" s="161"/>
    </row>
    <row r="345" spans="1:25" ht="12.75">
      <c r="A345" s="198" t="s">
        <v>517</v>
      </c>
      <c r="B345" s="199"/>
      <c r="C345" s="18"/>
      <c r="D345" s="18" t="s">
        <v>518</v>
      </c>
      <c r="E345" s="139">
        <f t="shared" si="93"/>
        <v>0.38899999999999996</v>
      </c>
      <c r="F345" s="181"/>
      <c r="G345" s="180">
        <f t="shared" si="94"/>
        <v>0</v>
      </c>
      <c r="H345" s="180">
        <f t="shared" si="94"/>
        <v>0</v>
      </c>
      <c r="I345" s="180">
        <f t="shared" si="95"/>
        <v>0</v>
      </c>
      <c r="J345" s="180">
        <f t="shared" si="96"/>
        <v>0</v>
      </c>
      <c r="K345" s="180">
        <f t="shared" si="97"/>
        <v>0</v>
      </c>
      <c r="L345" s="180">
        <f t="shared" si="97"/>
        <v>0</v>
      </c>
      <c r="M345" s="180">
        <f t="shared" si="97"/>
        <v>0</v>
      </c>
      <c r="N345" s="180">
        <f t="shared" si="97"/>
        <v>0</v>
      </c>
      <c r="O345" s="180">
        <f t="shared" si="97"/>
        <v>0</v>
      </c>
      <c r="P345" s="180">
        <f t="shared" si="97"/>
        <v>0</v>
      </c>
      <c r="Q345" s="180">
        <f t="shared" si="97"/>
        <v>0</v>
      </c>
      <c r="R345" s="180">
        <f t="shared" si="97"/>
        <v>0</v>
      </c>
      <c r="S345" s="180">
        <f t="shared" si="97"/>
        <v>0</v>
      </c>
      <c r="U345" s="56">
        <f t="shared" si="98"/>
        <v>0</v>
      </c>
      <c r="W345" s="184">
        <f t="shared" si="99"/>
        <v>0.38899999999999996</v>
      </c>
      <c r="X345" s="56"/>
      <c r="Y345" s="161"/>
    </row>
    <row r="346" spans="1:25" ht="12.75">
      <c r="A346" s="191" t="s">
        <v>519</v>
      </c>
      <c r="B346" s="192"/>
      <c r="C346" s="193"/>
      <c r="D346" s="193" t="s">
        <v>237</v>
      </c>
      <c r="E346" s="194">
        <f t="shared" si="93"/>
        <v>0.38899999999999996</v>
      </c>
      <c r="F346" s="195" t="s">
        <v>470</v>
      </c>
      <c r="G346" s="196">
        <f t="shared" si="94"/>
        <v>0</v>
      </c>
      <c r="H346" s="196">
        <f t="shared" si="94"/>
        <v>0</v>
      </c>
      <c r="I346" s="196">
        <f>M346-G346-H346-J346-K346-L346</f>
        <v>0</v>
      </c>
      <c r="J346" s="196">
        <f t="shared" si="96"/>
        <v>0</v>
      </c>
      <c r="K346" s="196">
        <f t="shared" si="97"/>
        <v>0</v>
      </c>
      <c r="L346" s="196">
        <f t="shared" si="97"/>
        <v>0</v>
      </c>
      <c r="M346" s="196">
        <f t="shared" si="97"/>
        <v>0</v>
      </c>
      <c r="N346" s="196">
        <f t="shared" si="97"/>
        <v>0</v>
      </c>
      <c r="O346" s="196">
        <f t="shared" si="97"/>
        <v>0</v>
      </c>
      <c r="P346" s="196">
        <f t="shared" si="97"/>
        <v>0</v>
      </c>
      <c r="Q346" s="196">
        <f t="shared" si="97"/>
        <v>0</v>
      </c>
      <c r="R346" s="196">
        <f t="shared" si="97"/>
        <v>0</v>
      </c>
      <c r="S346" s="196">
        <f t="shared" si="97"/>
        <v>0</v>
      </c>
      <c r="U346" s="56">
        <f t="shared" si="98"/>
        <v>0</v>
      </c>
      <c r="W346" s="197">
        <f t="shared" si="99"/>
        <v>0.38899999999999996</v>
      </c>
      <c r="X346" s="56"/>
      <c r="Y346" s="161"/>
    </row>
    <row r="347" spans="1:25" ht="12.75">
      <c r="A347" s="191" t="s">
        <v>520</v>
      </c>
      <c r="B347" s="192"/>
      <c r="C347" s="193"/>
      <c r="D347" s="193" t="s">
        <v>521</v>
      </c>
      <c r="E347" s="194"/>
      <c r="F347" s="195" t="s">
        <v>470</v>
      </c>
      <c r="G347" s="196">
        <f t="shared" ref="G347:S347" si="100">SUM(G348:G359)</f>
        <v>459484.45356269996</v>
      </c>
      <c r="H347" s="196">
        <f t="shared" si="100"/>
        <v>0.40844999999971693</v>
      </c>
      <c r="I347" s="196">
        <f t="shared" si="100"/>
        <v>7.4615383316434247E-12</v>
      </c>
      <c r="J347" s="196">
        <f t="shared" si="100"/>
        <v>11706.999999999998</v>
      </c>
      <c r="K347" s="196">
        <f t="shared" si="100"/>
        <v>-9073.0499999999993</v>
      </c>
      <c r="L347" s="196">
        <f t="shared" si="100"/>
        <v>0</v>
      </c>
      <c r="M347" s="196">
        <f t="shared" si="100"/>
        <v>462118.81201269996</v>
      </c>
      <c r="N347" s="196">
        <f t="shared" si="100"/>
        <v>26029.635307916673</v>
      </c>
      <c r="O347" s="196">
        <f t="shared" si="100"/>
        <v>0</v>
      </c>
      <c r="P347" s="196">
        <f t="shared" si="100"/>
        <v>0</v>
      </c>
      <c r="Q347" s="196">
        <f t="shared" si="100"/>
        <v>0</v>
      </c>
      <c r="R347" s="196">
        <f t="shared" si="100"/>
        <v>36125.25</v>
      </c>
      <c r="S347" s="196">
        <f t="shared" si="100"/>
        <v>524273.69732061663</v>
      </c>
      <c r="U347" s="56"/>
      <c r="W347" s="197"/>
      <c r="X347" s="56"/>
      <c r="Y347" s="161"/>
    </row>
    <row r="348" spans="1:25" ht="12.75">
      <c r="A348" s="198" t="s">
        <v>522</v>
      </c>
      <c r="B348" s="199"/>
      <c r="C348" s="18"/>
      <c r="D348" s="18" t="s">
        <v>77</v>
      </c>
      <c r="E348" s="139">
        <f t="shared" ref="E348:E360" si="101">$E$315</f>
        <v>0.38899999999999996</v>
      </c>
      <c r="F348" s="181"/>
      <c r="G348" s="180">
        <f t="shared" ref="G348:H360" si="102">SUMIF($E$11:$E$283,$D348,G$11:G$283)*$W348</f>
        <v>-4177.072547300002</v>
      </c>
      <c r="H348" s="180">
        <f t="shared" si="102"/>
        <v>0.38899999999999996</v>
      </c>
      <c r="I348" s="180">
        <f t="shared" ref="I348:I357" si="103">M348-G348-H348-J348-K348-L348</f>
        <v>1.237343560944737E-13</v>
      </c>
      <c r="J348" s="180">
        <f t="shared" ref="J348:J360" si="104">SUMIF($E$11:$E$283,$D348,J$11:J$283)*$W348</f>
        <v>0</v>
      </c>
      <c r="K348" s="180">
        <f t="shared" ref="K348:S360" si="105">SUMIF($E$11:$E$283,$D348,K$11:K$283)*$E348</f>
        <v>0</v>
      </c>
      <c r="L348" s="180">
        <f t="shared" si="105"/>
        <v>0</v>
      </c>
      <c r="M348" s="180">
        <f t="shared" si="105"/>
        <v>-4176.6835473000019</v>
      </c>
      <c r="N348" s="180">
        <f t="shared" si="105"/>
        <v>487.29624791666657</v>
      </c>
      <c r="O348" s="180">
        <f t="shared" si="105"/>
        <v>0</v>
      </c>
      <c r="P348" s="180">
        <f t="shared" si="105"/>
        <v>0</v>
      </c>
      <c r="Q348" s="180">
        <f t="shared" si="105"/>
        <v>0</v>
      </c>
      <c r="R348" s="180">
        <f t="shared" si="105"/>
        <v>0</v>
      </c>
      <c r="S348" s="180">
        <f t="shared" si="105"/>
        <v>-3689.3872993833356</v>
      </c>
      <c r="U348" s="56">
        <f t="shared" ref="U348:U360" si="106">M348/E348</f>
        <v>-10736.975700000006</v>
      </c>
      <c r="W348" s="184">
        <f t="shared" ref="W348:W360" si="107">$W$315</f>
        <v>0.38899999999999996</v>
      </c>
      <c r="X348" s="56"/>
      <c r="Y348" s="161"/>
    </row>
    <row r="349" spans="1:25" ht="12.75">
      <c r="A349" s="198" t="s">
        <v>523</v>
      </c>
      <c r="B349" s="199"/>
      <c r="C349" s="18"/>
      <c r="D349" s="18" t="s">
        <v>524</v>
      </c>
      <c r="E349" s="139">
        <f t="shared" si="101"/>
        <v>0.38899999999999996</v>
      </c>
      <c r="F349" s="181"/>
      <c r="G349" s="180">
        <f t="shared" si="102"/>
        <v>0</v>
      </c>
      <c r="H349" s="180">
        <f t="shared" si="102"/>
        <v>0</v>
      </c>
      <c r="I349" s="180">
        <f t="shared" si="103"/>
        <v>0</v>
      </c>
      <c r="J349" s="180">
        <f t="shared" si="104"/>
        <v>0</v>
      </c>
      <c r="K349" s="180">
        <f t="shared" si="105"/>
        <v>0</v>
      </c>
      <c r="L349" s="180">
        <f t="shared" si="105"/>
        <v>0</v>
      </c>
      <c r="M349" s="180">
        <f t="shared" si="105"/>
        <v>0</v>
      </c>
      <c r="N349" s="180">
        <f t="shared" si="105"/>
        <v>0</v>
      </c>
      <c r="O349" s="180">
        <f t="shared" si="105"/>
        <v>0</v>
      </c>
      <c r="P349" s="180">
        <f t="shared" si="105"/>
        <v>0</v>
      </c>
      <c r="Q349" s="180">
        <f t="shared" si="105"/>
        <v>0</v>
      </c>
      <c r="R349" s="180">
        <f t="shared" si="105"/>
        <v>0</v>
      </c>
      <c r="S349" s="180">
        <f t="shared" si="105"/>
        <v>0</v>
      </c>
      <c r="U349" s="56">
        <f t="shared" si="106"/>
        <v>0</v>
      </c>
      <c r="W349" s="184">
        <f t="shared" si="107"/>
        <v>0.38899999999999996</v>
      </c>
      <c r="X349" s="56"/>
      <c r="Y349" s="161"/>
    </row>
    <row r="350" spans="1:25" ht="12.75">
      <c r="A350" s="198" t="s">
        <v>525</v>
      </c>
      <c r="B350" s="199"/>
      <c r="C350" s="18"/>
      <c r="D350" s="18" t="s">
        <v>526</v>
      </c>
      <c r="E350" s="139">
        <f t="shared" si="101"/>
        <v>0.38899999999999996</v>
      </c>
      <c r="F350" s="181"/>
      <c r="G350" s="180">
        <f t="shared" si="102"/>
        <v>0</v>
      </c>
      <c r="H350" s="180">
        <f t="shared" si="102"/>
        <v>0</v>
      </c>
      <c r="I350" s="180">
        <f t="shared" si="103"/>
        <v>0</v>
      </c>
      <c r="J350" s="180">
        <f t="shared" si="104"/>
        <v>0</v>
      </c>
      <c r="K350" s="180">
        <f t="shared" si="105"/>
        <v>0</v>
      </c>
      <c r="L350" s="180">
        <f t="shared" si="105"/>
        <v>0</v>
      </c>
      <c r="M350" s="180">
        <f t="shared" si="105"/>
        <v>0</v>
      </c>
      <c r="N350" s="180">
        <f t="shared" si="105"/>
        <v>0</v>
      </c>
      <c r="O350" s="180">
        <f t="shared" si="105"/>
        <v>0</v>
      </c>
      <c r="P350" s="180">
        <f t="shared" si="105"/>
        <v>0</v>
      </c>
      <c r="Q350" s="180">
        <f t="shared" si="105"/>
        <v>0</v>
      </c>
      <c r="R350" s="180">
        <f t="shared" si="105"/>
        <v>0</v>
      </c>
      <c r="S350" s="180">
        <f t="shared" si="105"/>
        <v>0</v>
      </c>
      <c r="U350" s="56">
        <f t="shared" si="106"/>
        <v>0</v>
      </c>
      <c r="W350" s="184">
        <f t="shared" si="107"/>
        <v>0.38899999999999996</v>
      </c>
      <c r="X350" s="56"/>
      <c r="Y350" s="161"/>
    </row>
    <row r="351" spans="1:25" ht="12.75">
      <c r="A351" s="198" t="s">
        <v>527</v>
      </c>
      <c r="B351" s="199"/>
      <c r="C351" s="18"/>
      <c r="D351" s="18" t="s">
        <v>528</v>
      </c>
      <c r="E351" s="139">
        <f t="shared" si="101"/>
        <v>0.38899999999999996</v>
      </c>
      <c r="F351" s="181"/>
      <c r="G351" s="180">
        <f t="shared" si="102"/>
        <v>0</v>
      </c>
      <c r="H351" s="180">
        <f t="shared" si="102"/>
        <v>0</v>
      </c>
      <c r="I351" s="180">
        <f t="shared" si="103"/>
        <v>0</v>
      </c>
      <c r="J351" s="180">
        <f t="shared" si="104"/>
        <v>0</v>
      </c>
      <c r="K351" s="180">
        <f t="shared" si="105"/>
        <v>0</v>
      </c>
      <c r="L351" s="180">
        <f t="shared" si="105"/>
        <v>0</v>
      </c>
      <c r="M351" s="180">
        <f t="shared" si="105"/>
        <v>0</v>
      </c>
      <c r="N351" s="180">
        <f t="shared" si="105"/>
        <v>0</v>
      </c>
      <c r="O351" s="180">
        <f t="shared" si="105"/>
        <v>0</v>
      </c>
      <c r="P351" s="180">
        <f t="shared" si="105"/>
        <v>0</v>
      </c>
      <c r="Q351" s="180">
        <f t="shared" si="105"/>
        <v>0</v>
      </c>
      <c r="R351" s="180">
        <f t="shared" si="105"/>
        <v>0</v>
      </c>
      <c r="S351" s="180">
        <f t="shared" si="105"/>
        <v>0</v>
      </c>
      <c r="U351" s="56">
        <f t="shared" si="106"/>
        <v>0</v>
      </c>
      <c r="W351" s="184">
        <f t="shared" si="107"/>
        <v>0.38899999999999996</v>
      </c>
      <c r="X351" s="56"/>
      <c r="Y351" s="161"/>
    </row>
    <row r="352" spans="1:25" ht="12.75">
      <c r="A352" s="198" t="s">
        <v>529</v>
      </c>
      <c r="B352" s="199"/>
      <c r="C352" s="18"/>
      <c r="D352" s="18" t="s">
        <v>81</v>
      </c>
      <c r="E352" s="139">
        <f t="shared" si="101"/>
        <v>0.38899999999999996</v>
      </c>
      <c r="F352" s="181"/>
      <c r="G352" s="180">
        <f t="shared" si="102"/>
        <v>0</v>
      </c>
      <c r="H352" s="180">
        <f t="shared" si="102"/>
        <v>0</v>
      </c>
      <c r="I352" s="180">
        <f t="shared" si="103"/>
        <v>0</v>
      </c>
      <c r="J352" s="180">
        <f t="shared" si="104"/>
        <v>0</v>
      </c>
      <c r="K352" s="180">
        <f t="shared" si="105"/>
        <v>0</v>
      </c>
      <c r="L352" s="180">
        <f t="shared" si="105"/>
        <v>0</v>
      </c>
      <c r="M352" s="180">
        <f t="shared" si="105"/>
        <v>0</v>
      </c>
      <c r="N352" s="180">
        <f t="shared" si="105"/>
        <v>0</v>
      </c>
      <c r="O352" s="180">
        <f t="shared" si="105"/>
        <v>0</v>
      </c>
      <c r="P352" s="180">
        <f t="shared" si="105"/>
        <v>0</v>
      </c>
      <c r="Q352" s="180">
        <f t="shared" si="105"/>
        <v>0</v>
      </c>
      <c r="R352" s="180">
        <f t="shared" si="105"/>
        <v>0</v>
      </c>
      <c r="S352" s="180">
        <f t="shared" si="105"/>
        <v>0</v>
      </c>
      <c r="U352" s="56">
        <f t="shared" si="106"/>
        <v>0</v>
      </c>
      <c r="W352" s="184">
        <f t="shared" si="107"/>
        <v>0.38899999999999996</v>
      </c>
      <c r="X352" s="56"/>
      <c r="Y352" s="161"/>
    </row>
    <row r="353" spans="1:25" ht="12.75">
      <c r="A353" s="198" t="s">
        <v>530</v>
      </c>
      <c r="B353" s="199"/>
      <c r="C353" s="18"/>
      <c r="D353" s="18" t="s">
        <v>531</v>
      </c>
      <c r="E353" s="139">
        <f t="shared" si="101"/>
        <v>0.38899999999999996</v>
      </c>
      <c r="F353" s="181"/>
      <c r="G353" s="180">
        <f t="shared" si="102"/>
        <v>0</v>
      </c>
      <c r="H353" s="180">
        <f t="shared" si="102"/>
        <v>0</v>
      </c>
      <c r="I353" s="180">
        <f t="shared" si="103"/>
        <v>0</v>
      </c>
      <c r="J353" s="180">
        <f t="shared" si="104"/>
        <v>0</v>
      </c>
      <c r="K353" s="180">
        <f t="shared" si="105"/>
        <v>0</v>
      </c>
      <c r="L353" s="180">
        <f t="shared" si="105"/>
        <v>0</v>
      </c>
      <c r="M353" s="180">
        <f t="shared" si="105"/>
        <v>0</v>
      </c>
      <c r="N353" s="180">
        <f t="shared" si="105"/>
        <v>0</v>
      </c>
      <c r="O353" s="180">
        <f t="shared" si="105"/>
        <v>0</v>
      </c>
      <c r="P353" s="180">
        <f t="shared" si="105"/>
        <v>0</v>
      </c>
      <c r="Q353" s="180">
        <f t="shared" si="105"/>
        <v>0</v>
      </c>
      <c r="R353" s="180">
        <f t="shared" si="105"/>
        <v>0</v>
      </c>
      <c r="S353" s="180">
        <f t="shared" si="105"/>
        <v>0</v>
      </c>
      <c r="U353" s="56">
        <f t="shared" si="106"/>
        <v>0</v>
      </c>
      <c r="W353" s="184">
        <f t="shared" si="107"/>
        <v>0.38899999999999996</v>
      </c>
      <c r="X353" s="56"/>
      <c r="Y353" s="161"/>
    </row>
    <row r="354" spans="1:25" ht="12.75">
      <c r="A354" s="198" t="s">
        <v>532</v>
      </c>
      <c r="B354" s="199"/>
      <c r="C354" s="18"/>
      <c r="D354" s="18" t="s">
        <v>139</v>
      </c>
      <c r="E354" s="139">
        <f t="shared" si="101"/>
        <v>0.38899999999999996</v>
      </c>
      <c r="F354" s="181"/>
      <c r="G354" s="180">
        <f t="shared" si="102"/>
        <v>0</v>
      </c>
      <c r="H354" s="180">
        <f t="shared" si="102"/>
        <v>0</v>
      </c>
      <c r="I354" s="180">
        <f t="shared" si="103"/>
        <v>0</v>
      </c>
      <c r="J354" s="180">
        <f t="shared" si="104"/>
        <v>0</v>
      </c>
      <c r="K354" s="180">
        <f t="shared" si="105"/>
        <v>0</v>
      </c>
      <c r="L354" s="180">
        <f t="shared" si="105"/>
        <v>0</v>
      </c>
      <c r="M354" s="180">
        <f t="shared" si="105"/>
        <v>0</v>
      </c>
      <c r="N354" s="180">
        <f t="shared" si="105"/>
        <v>0</v>
      </c>
      <c r="O354" s="180">
        <f t="shared" si="105"/>
        <v>0</v>
      </c>
      <c r="P354" s="180">
        <f t="shared" si="105"/>
        <v>0</v>
      </c>
      <c r="Q354" s="180">
        <f t="shared" si="105"/>
        <v>0</v>
      </c>
      <c r="R354" s="180">
        <f t="shared" si="105"/>
        <v>0</v>
      </c>
      <c r="S354" s="180">
        <f t="shared" si="105"/>
        <v>0</v>
      </c>
      <c r="U354" s="56">
        <f t="shared" si="106"/>
        <v>0</v>
      </c>
      <c r="W354" s="184">
        <f t="shared" si="107"/>
        <v>0.38899999999999996</v>
      </c>
      <c r="X354" s="56"/>
      <c r="Y354" s="161"/>
    </row>
    <row r="355" spans="1:25" ht="12.75">
      <c r="A355" s="200" t="s">
        <v>533</v>
      </c>
      <c r="B355" s="199"/>
      <c r="C355" s="201"/>
      <c r="D355" s="201" t="s">
        <v>534</v>
      </c>
      <c r="E355" s="139">
        <f t="shared" si="101"/>
        <v>0.38899999999999996</v>
      </c>
      <c r="F355" s="181"/>
      <c r="G355" s="180">
        <f t="shared" si="102"/>
        <v>0</v>
      </c>
      <c r="H355" s="180">
        <f t="shared" si="102"/>
        <v>0</v>
      </c>
      <c r="I355" s="180">
        <f t="shared" si="103"/>
        <v>0</v>
      </c>
      <c r="J355" s="180">
        <f t="shared" si="104"/>
        <v>0</v>
      </c>
      <c r="K355" s="180">
        <f t="shared" si="105"/>
        <v>0</v>
      </c>
      <c r="L355" s="180">
        <f t="shared" si="105"/>
        <v>0</v>
      </c>
      <c r="M355" s="180">
        <f t="shared" si="105"/>
        <v>0</v>
      </c>
      <c r="N355" s="180">
        <f t="shared" si="105"/>
        <v>0</v>
      </c>
      <c r="O355" s="180">
        <f t="shared" si="105"/>
        <v>0</v>
      </c>
      <c r="P355" s="180">
        <f t="shared" si="105"/>
        <v>0</v>
      </c>
      <c r="Q355" s="180">
        <f t="shared" si="105"/>
        <v>0</v>
      </c>
      <c r="R355" s="180">
        <f t="shared" si="105"/>
        <v>0</v>
      </c>
      <c r="S355" s="180">
        <f t="shared" si="105"/>
        <v>0</v>
      </c>
      <c r="U355" s="56">
        <f t="shared" si="106"/>
        <v>0</v>
      </c>
      <c r="W355" s="184">
        <f t="shared" si="107"/>
        <v>0.38899999999999996</v>
      </c>
      <c r="X355" s="56"/>
      <c r="Y355" s="161"/>
    </row>
    <row r="356" spans="1:25" ht="12.75">
      <c r="A356" s="198" t="s">
        <v>535</v>
      </c>
      <c r="B356" s="199"/>
      <c r="C356" s="18" t="s">
        <v>335</v>
      </c>
      <c r="D356" s="18" t="s">
        <v>192</v>
      </c>
      <c r="E356" s="139">
        <f t="shared" si="101"/>
        <v>0.38899999999999996</v>
      </c>
      <c r="F356" s="181"/>
      <c r="G356" s="180">
        <f>SUMIF($E$11:$E$283,$D356,G$11:G$283)*$E356+SUMIF($E$11:$E$283,$C356,G$11:G$283)*0.35</f>
        <v>177393.36856999999</v>
      </c>
      <c r="H356" s="180">
        <f t="shared" ref="H356:Q356" si="108">SUMIF($E$11:$E$283,$D356,H$11:H$283)*$E356</f>
        <v>0</v>
      </c>
      <c r="I356" s="180">
        <f>SUMIF($E$11:$E$283,$D356,I$11:I$283)*$E356</f>
        <v>0</v>
      </c>
      <c r="J356" s="180">
        <f>SUMIF($E$11:$E$283,$D356,J$11:J$283)*$E356+SUMIF($E$11:$E$283,$C356,J$11:J$283)*0.35</f>
        <v>11706.999999999998</v>
      </c>
      <c r="K356" s="180">
        <f>SUMIF($E$11:$E$283,$D356,K$11:K$283)*$E356+SUMIF($E$11:$E$283,$C356,K$11:K$283)*0.35</f>
        <v>-9073.0499999999993</v>
      </c>
      <c r="L356" s="180">
        <f t="shared" si="108"/>
        <v>0</v>
      </c>
      <c r="M356" s="180">
        <f>SUMIF($E$11:$E$283,$D356,M$11:M$283)*$E356+SUMIF($E$11:$E$283,C356,M$11:M$283)*0.35</f>
        <v>180027.31857</v>
      </c>
      <c r="N356" s="180">
        <f t="shared" si="108"/>
        <v>-28538.300359999994</v>
      </c>
      <c r="O356" s="180">
        <f t="shared" si="108"/>
        <v>0</v>
      </c>
      <c r="P356" s="180">
        <f t="shared" si="108"/>
        <v>0</v>
      </c>
      <c r="Q356" s="180">
        <f t="shared" si="108"/>
        <v>0</v>
      </c>
      <c r="R356" s="180">
        <f>SUMIF($E$11:$E$283,$D356,R$11:R$283)*$E356+SUMIF($E$11:$E$283,$C356,R$11:R$283)*0.35</f>
        <v>36125.25</v>
      </c>
      <c r="S356" s="180">
        <f>SUMIF($E$11:$E$283,$D356,S$11:S$283)*$E356+SUMIF($E$11:$E$283,$C356,S$11:S$283)*0.35</f>
        <v>187614.26821000001</v>
      </c>
      <c r="U356" s="56">
        <f t="shared" si="106"/>
        <v>462795.16341902321</v>
      </c>
      <c r="W356" s="184">
        <f t="shared" si="107"/>
        <v>0.38899999999999996</v>
      </c>
      <c r="X356" s="56"/>
      <c r="Y356" s="161"/>
    </row>
    <row r="357" spans="1:25" ht="12.75">
      <c r="A357" s="198" t="s">
        <v>536</v>
      </c>
      <c r="B357" s="199"/>
      <c r="C357" s="18"/>
      <c r="D357" s="18" t="s">
        <v>72</v>
      </c>
      <c r="E357" s="139">
        <f t="shared" si="101"/>
        <v>0.38899999999999996</v>
      </c>
      <c r="F357" s="181"/>
      <c r="G357" s="180">
        <f t="shared" si="102"/>
        <v>234204.06299999997</v>
      </c>
      <c r="H357" s="180">
        <f t="shared" si="102"/>
        <v>0</v>
      </c>
      <c r="I357" s="180">
        <f t="shared" si="103"/>
        <v>0</v>
      </c>
      <c r="J357" s="180">
        <f t="shared" si="104"/>
        <v>0</v>
      </c>
      <c r="K357" s="180">
        <f t="shared" si="105"/>
        <v>0</v>
      </c>
      <c r="L357" s="180">
        <f t="shared" si="105"/>
        <v>0</v>
      </c>
      <c r="M357" s="180">
        <f t="shared" si="105"/>
        <v>234204.06299999997</v>
      </c>
      <c r="N357" s="180">
        <f t="shared" si="105"/>
        <v>44057.552609999999</v>
      </c>
      <c r="O357" s="180">
        <f t="shared" si="105"/>
        <v>0</v>
      </c>
      <c r="P357" s="180">
        <f t="shared" si="105"/>
        <v>0</v>
      </c>
      <c r="Q357" s="180">
        <f t="shared" si="105"/>
        <v>0</v>
      </c>
      <c r="R357" s="180">
        <f t="shared" si="105"/>
        <v>0</v>
      </c>
      <c r="S357" s="180">
        <f t="shared" si="105"/>
        <v>278261.61560999998</v>
      </c>
      <c r="U357" s="56">
        <f t="shared" si="106"/>
        <v>602067</v>
      </c>
      <c r="W357" s="184">
        <f t="shared" si="107"/>
        <v>0.38899999999999996</v>
      </c>
      <c r="X357" s="56"/>
      <c r="Y357" s="161"/>
    </row>
    <row r="358" spans="1:25" ht="12.75">
      <c r="A358" s="198" t="s">
        <v>537</v>
      </c>
      <c r="B358" s="199"/>
      <c r="C358" s="18"/>
      <c r="D358" s="18" t="s">
        <v>282</v>
      </c>
      <c r="E358" s="139">
        <f>$E$315</f>
        <v>0.38899999999999996</v>
      </c>
      <c r="F358" s="181"/>
      <c r="G358" s="180">
        <f>SUMIF($E$11:$E$283,$D358,G$11:G$283)*$W358</f>
        <v>52064.094539999991</v>
      </c>
      <c r="H358" s="180">
        <f>SUMIF($E$11:$E$283,$D358,H$11:H$283)*$W358</f>
        <v>1.9449999999716965E-2</v>
      </c>
      <c r="I358" s="180">
        <f>M358-G358-H358-J358-K358-L358</f>
        <v>7.337803975548951E-12</v>
      </c>
      <c r="J358" s="180">
        <f>SUMIF($E$11:$E$283,$D358,J$11:J$283)*$W358</f>
        <v>0</v>
      </c>
      <c r="K358" s="180">
        <f t="shared" si="105"/>
        <v>0</v>
      </c>
      <c r="L358" s="180">
        <f t="shared" si="105"/>
        <v>0</v>
      </c>
      <c r="M358" s="180">
        <f t="shared" si="105"/>
        <v>52064.113989999998</v>
      </c>
      <c r="N358" s="180">
        <f t="shared" si="105"/>
        <v>10023.086809999999</v>
      </c>
      <c r="O358" s="180">
        <f t="shared" si="105"/>
        <v>0</v>
      </c>
      <c r="P358" s="180">
        <f t="shared" si="105"/>
        <v>0</v>
      </c>
      <c r="Q358" s="180">
        <f t="shared" si="105"/>
        <v>0</v>
      </c>
      <c r="R358" s="180">
        <f t="shared" si="105"/>
        <v>0</v>
      </c>
      <c r="S358" s="180">
        <f t="shared" si="105"/>
        <v>62087.200799999999</v>
      </c>
      <c r="U358" s="56">
        <f>M358/E358</f>
        <v>133840.91</v>
      </c>
      <c r="W358" s="184">
        <f>$W$315</f>
        <v>0.38899999999999996</v>
      </c>
      <c r="X358" s="56"/>
      <c r="Y358" s="161"/>
    </row>
    <row r="359" spans="1:25" ht="12.75">
      <c r="A359" s="198" t="s">
        <v>290</v>
      </c>
      <c r="B359" s="199"/>
      <c r="C359" s="18"/>
      <c r="D359" s="18" t="s">
        <v>291</v>
      </c>
      <c r="E359" s="139">
        <f>$E$315</f>
        <v>0.38899999999999996</v>
      </c>
      <c r="F359" s="181"/>
      <c r="G359" s="180">
        <f>SUMIF($E$11:$E$283,$D359,G$11:G$283)*$W359</f>
        <v>0</v>
      </c>
      <c r="H359" s="180">
        <f>SUMIF($E$11:$E$283,$D359,H$11:H$283)*$W359</f>
        <v>0</v>
      </c>
      <c r="I359" s="180">
        <f>M359-G359-H359-J359-K359-L359</f>
        <v>0</v>
      </c>
      <c r="J359" s="180">
        <f>SUMIF($E$11:$E$283,$D359,J$11:J$283)*$W359</f>
        <v>0</v>
      </c>
      <c r="K359" s="180">
        <f t="shared" si="105"/>
        <v>0</v>
      </c>
      <c r="L359" s="180">
        <f t="shared" si="105"/>
        <v>0</v>
      </c>
      <c r="M359" s="180">
        <f t="shared" si="105"/>
        <v>0</v>
      </c>
      <c r="N359" s="180">
        <f t="shared" si="105"/>
        <v>0</v>
      </c>
      <c r="O359" s="180">
        <f t="shared" si="105"/>
        <v>0</v>
      </c>
      <c r="P359" s="180">
        <f t="shared" si="105"/>
        <v>0</v>
      </c>
      <c r="Q359" s="180">
        <f t="shared" si="105"/>
        <v>0</v>
      </c>
      <c r="R359" s="180">
        <f t="shared" si="105"/>
        <v>0</v>
      </c>
      <c r="S359" s="180">
        <f t="shared" si="105"/>
        <v>0</v>
      </c>
      <c r="U359" s="56">
        <f>M359/E359</f>
        <v>0</v>
      </c>
      <c r="W359" s="184">
        <f>$W$315</f>
        <v>0.38899999999999996</v>
      </c>
      <c r="X359" s="56"/>
      <c r="Y359" s="161"/>
    </row>
    <row r="360" spans="1:25" ht="12.75">
      <c r="A360" s="203" t="s">
        <v>538</v>
      </c>
      <c r="B360" s="192"/>
      <c r="C360" s="193"/>
      <c r="D360" s="193" t="s">
        <v>539</v>
      </c>
      <c r="E360" s="194">
        <f t="shared" si="101"/>
        <v>0.38899999999999996</v>
      </c>
      <c r="F360" s="195" t="s">
        <v>470</v>
      </c>
      <c r="G360" s="196">
        <f t="shared" si="102"/>
        <v>0</v>
      </c>
      <c r="H360" s="196">
        <f t="shared" si="102"/>
        <v>0</v>
      </c>
      <c r="I360" s="196">
        <f>M360-G360-H360-J360-K360-L360</f>
        <v>0</v>
      </c>
      <c r="J360" s="196">
        <f t="shared" si="104"/>
        <v>0</v>
      </c>
      <c r="K360" s="196">
        <f t="shared" si="105"/>
        <v>0</v>
      </c>
      <c r="L360" s="196">
        <f t="shared" si="105"/>
        <v>0</v>
      </c>
      <c r="M360" s="196">
        <f t="shared" si="105"/>
        <v>0</v>
      </c>
      <c r="N360" s="196">
        <f t="shared" si="105"/>
        <v>0</v>
      </c>
      <c r="O360" s="196">
        <f t="shared" si="105"/>
        <v>0</v>
      </c>
      <c r="P360" s="196">
        <f t="shared" si="105"/>
        <v>0</v>
      </c>
      <c r="Q360" s="196">
        <f t="shared" si="105"/>
        <v>0</v>
      </c>
      <c r="R360" s="196">
        <f t="shared" si="105"/>
        <v>0</v>
      </c>
      <c r="S360" s="196">
        <f t="shared" si="105"/>
        <v>0</v>
      </c>
      <c r="U360" s="56">
        <f t="shared" si="106"/>
        <v>0</v>
      </c>
      <c r="W360" s="197">
        <f t="shared" si="107"/>
        <v>0.38899999999999996</v>
      </c>
      <c r="X360" s="56"/>
      <c r="Y360" s="161"/>
    </row>
    <row r="361" spans="1:25" ht="12.75">
      <c r="A361" s="204" t="s">
        <v>540</v>
      </c>
      <c r="B361" s="192"/>
      <c r="C361" s="193"/>
      <c r="D361" s="193" t="s">
        <v>541</v>
      </c>
      <c r="E361" s="194"/>
      <c r="F361" s="195" t="s">
        <v>470</v>
      </c>
      <c r="G361" s="196">
        <f>SUM(G362:G364)</f>
        <v>36121.524709999998</v>
      </c>
      <c r="H361" s="196">
        <f>SUM(H362:H364)</f>
        <v>-39395.974999999999</v>
      </c>
      <c r="I361" s="196">
        <f t="shared" ref="I361:S361" si="109">SUM(I362:I364)</f>
        <v>7.2759576141834259E-12</v>
      </c>
      <c r="J361" s="196">
        <f>SUM(J362:J364)</f>
        <v>20346.255999999998</v>
      </c>
      <c r="K361" s="196">
        <f t="shared" si="109"/>
        <v>0</v>
      </c>
      <c r="L361" s="196">
        <f t="shared" si="109"/>
        <v>0</v>
      </c>
      <c r="M361" s="196">
        <f>SUM(M362:M364)</f>
        <v>17071.805710000001</v>
      </c>
      <c r="N361" s="196">
        <f t="shared" si="109"/>
        <v>-72454.852140000017</v>
      </c>
      <c r="O361" s="196">
        <f t="shared" si="109"/>
        <v>0</v>
      </c>
      <c r="P361" s="196">
        <f t="shared" si="109"/>
        <v>0</v>
      </c>
      <c r="Q361" s="196">
        <f t="shared" si="109"/>
        <v>0</v>
      </c>
      <c r="R361" s="196">
        <f t="shared" si="109"/>
        <v>0</v>
      </c>
      <c r="S361" s="196">
        <f t="shared" si="109"/>
        <v>-55383.046430000009</v>
      </c>
      <c r="U361" s="56"/>
      <c r="W361" s="197"/>
      <c r="X361" s="56"/>
      <c r="Y361" s="161"/>
    </row>
    <row r="362" spans="1:25" ht="12.75">
      <c r="A362" s="198" t="s">
        <v>542</v>
      </c>
      <c r="B362" s="199"/>
      <c r="C362" s="18"/>
      <c r="D362" s="18" t="s">
        <v>213</v>
      </c>
      <c r="E362" s="139">
        <f>$E$315</f>
        <v>0.38899999999999996</v>
      </c>
      <c r="F362" s="181"/>
      <c r="G362" s="180">
        <f t="shared" ref="G362:H365" si="110">SUMIF($E$11:$E$283,$D362,G$11:G$283)*$W362</f>
        <v>51374.840999999993</v>
      </c>
      <c r="H362" s="180">
        <f t="shared" si="110"/>
        <v>0</v>
      </c>
      <c r="I362" s="180">
        <f>M362-G362-H362-J362-K362-L362</f>
        <v>0</v>
      </c>
      <c r="J362" s="180">
        <f>SUMIF($E$11:$E$283,$D362,J$11:J$283)*$W362</f>
        <v>0</v>
      </c>
      <c r="K362" s="180">
        <f t="shared" ref="K362:S365" si="111">SUMIF($E$11:$E$283,$D362,K$11:K$283)*$E362</f>
        <v>0</v>
      </c>
      <c r="L362" s="180">
        <f t="shared" si="111"/>
        <v>0</v>
      </c>
      <c r="M362" s="180">
        <f t="shared" si="111"/>
        <v>51374.840999999993</v>
      </c>
      <c r="N362" s="180">
        <f t="shared" si="111"/>
        <v>0</v>
      </c>
      <c r="O362" s="180">
        <f t="shared" si="111"/>
        <v>0</v>
      </c>
      <c r="P362" s="180">
        <f t="shared" si="111"/>
        <v>0</v>
      </c>
      <c r="Q362" s="180">
        <f t="shared" si="111"/>
        <v>0</v>
      </c>
      <c r="R362" s="180">
        <f t="shared" si="111"/>
        <v>0</v>
      </c>
      <c r="S362" s="180">
        <f t="shared" si="111"/>
        <v>51374.840999999993</v>
      </c>
      <c r="U362" s="56">
        <f>M362/E362</f>
        <v>132069</v>
      </c>
      <c r="W362" s="184">
        <f>$W$315</f>
        <v>0.38899999999999996</v>
      </c>
      <c r="X362" s="56"/>
      <c r="Y362" s="161"/>
    </row>
    <row r="363" spans="1:25" ht="12.75">
      <c r="A363" s="198" t="s">
        <v>543</v>
      </c>
      <c r="B363" s="199"/>
      <c r="C363" s="18"/>
      <c r="D363" s="18" t="s">
        <v>216</v>
      </c>
      <c r="E363" s="139">
        <f>$E$315</f>
        <v>0.38899999999999996</v>
      </c>
      <c r="F363" s="181"/>
      <c r="G363" s="180">
        <f t="shared" si="110"/>
        <v>-15253.316289999999</v>
      </c>
      <c r="H363" s="180">
        <f t="shared" si="110"/>
        <v>-39395.974999999999</v>
      </c>
      <c r="I363" s="180">
        <f>M363-G363-H363-J363-K363-L363</f>
        <v>7.2759576141834259E-12</v>
      </c>
      <c r="J363" s="180">
        <f>SUMIF($E$11:$E$283,$D363,J$11:J$283)*$W363</f>
        <v>20346.255999999998</v>
      </c>
      <c r="K363" s="180">
        <f t="shared" si="111"/>
        <v>0</v>
      </c>
      <c r="L363" s="180">
        <f t="shared" si="111"/>
        <v>0</v>
      </c>
      <c r="M363" s="180">
        <f t="shared" si="111"/>
        <v>-34303.035289999993</v>
      </c>
      <c r="N363" s="180">
        <f t="shared" si="111"/>
        <v>-72454.852140000017</v>
      </c>
      <c r="O363" s="180">
        <f t="shared" si="111"/>
        <v>0</v>
      </c>
      <c r="P363" s="180">
        <f t="shared" si="111"/>
        <v>0</v>
      </c>
      <c r="Q363" s="180">
        <f t="shared" si="111"/>
        <v>0</v>
      </c>
      <c r="R363" s="180">
        <f t="shared" si="111"/>
        <v>0</v>
      </c>
      <c r="S363" s="180">
        <f t="shared" si="111"/>
        <v>-106757.88743</v>
      </c>
      <c r="U363" s="56">
        <f>M363/E363</f>
        <v>-88182.609999999986</v>
      </c>
      <c r="W363" s="184">
        <f>$W$315</f>
        <v>0.38899999999999996</v>
      </c>
      <c r="X363" s="56"/>
      <c r="Y363" s="161"/>
    </row>
    <row r="364" spans="1:25" ht="12.75">
      <c r="A364" s="198" t="s">
        <v>544</v>
      </c>
      <c r="B364" s="199"/>
      <c r="C364" s="18"/>
      <c r="D364" s="18" t="s">
        <v>545</v>
      </c>
      <c r="E364" s="139">
        <f>$E$315</f>
        <v>0.38899999999999996</v>
      </c>
      <c r="F364" s="181"/>
      <c r="G364" s="180">
        <f t="shared" si="110"/>
        <v>0</v>
      </c>
      <c r="H364" s="180">
        <f t="shared" si="110"/>
        <v>0</v>
      </c>
      <c r="I364" s="180">
        <f>M364-G364-H364-J364-K364-L364</f>
        <v>0</v>
      </c>
      <c r="J364" s="180">
        <f>SUMIF($E$11:$E$283,$D364,J$11:J$283)*$W364</f>
        <v>0</v>
      </c>
      <c r="K364" s="180">
        <f t="shared" si="111"/>
        <v>0</v>
      </c>
      <c r="L364" s="180">
        <f t="shared" si="111"/>
        <v>0</v>
      </c>
      <c r="M364" s="180">
        <f t="shared" si="111"/>
        <v>0</v>
      </c>
      <c r="N364" s="180">
        <f t="shared" si="111"/>
        <v>0</v>
      </c>
      <c r="O364" s="180">
        <f t="shared" si="111"/>
        <v>0</v>
      </c>
      <c r="P364" s="180">
        <f t="shared" si="111"/>
        <v>0</v>
      </c>
      <c r="Q364" s="180">
        <f t="shared" si="111"/>
        <v>0</v>
      </c>
      <c r="R364" s="180">
        <f t="shared" si="111"/>
        <v>0</v>
      </c>
      <c r="S364" s="180">
        <f t="shared" si="111"/>
        <v>0</v>
      </c>
      <c r="U364" s="56">
        <f>M364/E364</f>
        <v>0</v>
      </c>
      <c r="W364" s="184">
        <f>$W$315</f>
        <v>0.38899999999999996</v>
      </c>
      <c r="X364" s="56"/>
      <c r="Y364" s="161"/>
    </row>
    <row r="365" spans="1:25" ht="12.75">
      <c r="A365" s="204" t="s">
        <v>546</v>
      </c>
      <c r="B365" s="192"/>
      <c r="C365" s="205"/>
      <c r="D365" s="205" t="s">
        <v>88</v>
      </c>
      <c r="E365" s="194">
        <f>$E$315</f>
        <v>0.38899999999999996</v>
      </c>
      <c r="F365" s="195" t="s">
        <v>470</v>
      </c>
      <c r="G365" s="196">
        <f t="shared" si="110"/>
        <v>0</v>
      </c>
      <c r="H365" s="196">
        <f t="shared" si="110"/>
        <v>0</v>
      </c>
      <c r="I365" s="196">
        <f>M365-G365-H365-J365-K365-L365</f>
        <v>0</v>
      </c>
      <c r="J365" s="196">
        <f>SUMIF($E$11:$E$283,$D365,J$11:J$283)*$W365</f>
        <v>0</v>
      </c>
      <c r="K365" s="196">
        <f t="shared" si="111"/>
        <v>0</v>
      </c>
      <c r="L365" s="196">
        <f t="shared" si="111"/>
        <v>0</v>
      </c>
      <c r="M365" s="196">
        <f t="shared" si="111"/>
        <v>0</v>
      </c>
      <c r="N365" s="196">
        <f t="shared" si="111"/>
        <v>0</v>
      </c>
      <c r="O365" s="196">
        <f t="shared" si="111"/>
        <v>0</v>
      </c>
      <c r="P365" s="196">
        <f t="shared" si="111"/>
        <v>0</v>
      </c>
      <c r="Q365" s="196">
        <f t="shared" si="111"/>
        <v>0</v>
      </c>
      <c r="R365" s="196">
        <f t="shared" si="111"/>
        <v>0</v>
      </c>
      <c r="S365" s="196">
        <f t="shared" si="111"/>
        <v>0</v>
      </c>
      <c r="U365" s="56">
        <f>M365/E365</f>
        <v>0</v>
      </c>
      <c r="W365" s="197">
        <f>$W$315</f>
        <v>0.38899999999999996</v>
      </c>
      <c r="X365" s="56"/>
      <c r="Y365" s="161"/>
    </row>
    <row r="366" spans="1:25" ht="12.75">
      <c r="A366" s="206" t="s">
        <v>547</v>
      </c>
      <c r="B366" s="207"/>
      <c r="C366" s="208"/>
      <c r="D366" s="208"/>
      <c r="E366" s="209"/>
      <c r="F366" s="210" t="s">
        <v>470</v>
      </c>
      <c r="G366" s="211">
        <f>SUMIF($F$311:$F$365,$F366,G$311:G$365)</f>
        <v>24500583.401575554</v>
      </c>
      <c r="H366" s="211">
        <f t="shared" ref="H366:S366" si="112">SUMIF($F$311:$F$365,$F366,H$311:H$365)</f>
        <v>713181.55285626929</v>
      </c>
      <c r="I366" s="211">
        <f t="shared" si="112"/>
        <v>8.4783464276982912E-10</v>
      </c>
      <c r="J366" s="211">
        <f t="shared" si="112"/>
        <v>1383987.4349999998</v>
      </c>
      <c r="K366" s="211">
        <f t="shared" si="112"/>
        <v>49119.317999999999</v>
      </c>
      <c r="L366" s="211">
        <f t="shared" si="112"/>
        <v>0</v>
      </c>
      <c r="M366" s="211">
        <f t="shared" si="112"/>
        <v>26646871.707431823</v>
      </c>
      <c r="N366" s="211">
        <f t="shared" si="112"/>
        <v>-762084.0534920831</v>
      </c>
      <c r="O366" s="211">
        <f t="shared" si="112"/>
        <v>0</v>
      </c>
      <c r="P366" s="211">
        <f t="shared" si="112"/>
        <v>-32986.048560000003</v>
      </c>
      <c r="Q366" s="211">
        <f t="shared" si="112"/>
        <v>0</v>
      </c>
      <c r="R366" s="211">
        <f t="shared" si="112"/>
        <v>36125.25</v>
      </c>
      <c r="S366" s="211">
        <f t="shared" si="112"/>
        <v>25887926.855379749</v>
      </c>
      <c r="U366" s="56"/>
      <c r="W366" s="212"/>
      <c r="X366" s="56"/>
      <c r="Y366" s="161"/>
    </row>
    <row r="367" spans="1:25" ht="12.75">
      <c r="A367" s="162"/>
      <c r="B367" s="166"/>
      <c r="C367" s="82"/>
      <c r="D367" s="82"/>
      <c r="E367" s="139"/>
      <c r="F367" s="213"/>
      <c r="G367" s="180"/>
      <c r="L367" s="214"/>
      <c r="M367" s="214"/>
      <c r="N367" s="214"/>
      <c r="P367" s="88"/>
      <c r="U367" s="56"/>
      <c r="W367" s="184"/>
      <c r="X367" s="56"/>
      <c r="Y367" s="161"/>
    </row>
    <row r="368" spans="1:25" ht="12.75">
      <c r="A368" s="162" t="s">
        <v>548</v>
      </c>
      <c r="B368" s="199"/>
      <c r="C368" s="166"/>
      <c r="D368" s="166" t="s">
        <v>345</v>
      </c>
      <c r="E368" s="139">
        <f>$E$326</f>
        <v>0.35</v>
      </c>
      <c r="F368" s="181"/>
      <c r="G368" s="180">
        <f t="shared" ref="G368:S368" si="113">-SUMIF($E$11:$E$283,$D368,G$11:G$283)*$E368</f>
        <v>0</v>
      </c>
      <c r="H368" s="180">
        <f t="shared" si="113"/>
        <v>0</v>
      </c>
      <c r="I368" s="180">
        <f t="shared" si="113"/>
        <v>0</v>
      </c>
      <c r="J368" s="180">
        <f t="shared" si="113"/>
        <v>0</v>
      </c>
      <c r="K368" s="180">
        <f t="shared" si="113"/>
        <v>0</v>
      </c>
      <c r="L368" s="180">
        <f t="shared" si="113"/>
        <v>0</v>
      </c>
      <c r="M368" s="180">
        <f t="shared" si="113"/>
        <v>0</v>
      </c>
      <c r="N368" s="180">
        <f t="shared" si="113"/>
        <v>0</v>
      </c>
      <c r="O368" s="180">
        <f t="shared" si="113"/>
        <v>0</v>
      </c>
      <c r="P368" s="180">
        <f t="shared" si="113"/>
        <v>0</v>
      </c>
      <c r="Q368" s="180">
        <f t="shared" si="113"/>
        <v>0</v>
      </c>
      <c r="R368" s="180">
        <f t="shared" si="113"/>
        <v>0</v>
      </c>
      <c r="S368" s="180">
        <f t="shared" si="113"/>
        <v>0</v>
      </c>
      <c r="U368" s="56">
        <f>M368/E368</f>
        <v>0</v>
      </c>
      <c r="W368" s="184">
        <f>$E$326</f>
        <v>0.35</v>
      </c>
      <c r="X368" s="56"/>
      <c r="Y368" s="161"/>
    </row>
    <row r="369" spans="1:25" ht="12.75">
      <c r="A369" s="206" t="s">
        <v>549</v>
      </c>
      <c r="B369" s="207"/>
      <c r="C369" s="208"/>
      <c r="D369" s="208"/>
      <c r="E369" s="209"/>
      <c r="F369" s="210" t="s">
        <v>345</v>
      </c>
      <c r="G369" s="211">
        <f>G366-G368</f>
        <v>24500583.401575554</v>
      </c>
      <c r="H369" s="211">
        <f t="shared" ref="H369:S369" si="114">H366-H368</f>
        <v>713181.55285626929</v>
      </c>
      <c r="I369" s="211">
        <f t="shared" si="114"/>
        <v>8.4783464276982912E-10</v>
      </c>
      <c r="J369" s="211">
        <f t="shared" si="114"/>
        <v>1383987.4349999998</v>
      </c>
      <c r="K369" s="211">
        <f t="shared" si="114"/>
        <v>49119.317999999999</v>
      </c>
      <c r="L369" s="211">
        <f t="shared" si="114"/>
        <v>0</v>
      </c>
      <c r="M369" s="211">
        <f t="shared" si="114"/>
        <v>26646871.707431823</v>
      </c>
      <c r="N369" s="211">
        <f t="shared" si="114"/>
        <v>-762084.0534920831</v>
      </c>
      <c r="O369" s="211">
        <f t="shared" si="114"/>
        <v>0</v>
      </c>
      <c r="P369" s="211">
        <f t="shared" si="114"/>
        <v>-32986.048560000003</v>
      </c>
      <c r="Q369" s="211">
        <f t="shared" si="114"/>
        <v>0</v>
      </c>
      <c r="R369" s="211">
        <f t="shared" si="114"/>
        <v>36125.25</v>
      </c>
      <c r="S369" s="211">
        <f t="shared" si="114"/>
        <v>25887926.855379749</v>
      </c>
      <c r="U369" s="56"/>
      <c r="W369" s="212"/>
      <c r="X369" s="56"/>
      <c r="Y369" s="161"/>
    </row>
    <row r="370" spans="1:25" ht="12.75">
      <c r="A370" s="162"/>
      <c r="B370" s="166"/>
      <c r="C370" s="82"/>
      <c r="D370" s="82"/>
      <c r="E370" s="139"/>
      <c r="F370" s="181"/>
      <c r="G370" s="180"/>
      <c r="L370" s="214"/>
      <c r="M370" s="214"/>
      <c r="N370" s="214"/>
      <c r="P370" s="88"/>
      <c r="U370" s="56"/>
      <c r="W370" s="184"/>
      <c r="X370" s="56"/>
      <c r="Y370" s="161"/>
    </row>
    <row r="371" spans="1:25" ht="12.75">
      <c r="A371" s="185" t="s">
        <v>550</v>
      </c>
      <c r="B371" s="186"/>
      <c r="C371" s="186"/>
      <c r="D371" s="186"/>
      <c r="E371" s="188"/>
      <c r="F371" s="189"/>
      <c r="G371" s="180"/>
      <c r="L371" s="214"/>
      <c r="M371" s="214"/>
      <c r="N371" s="214"/>
      <c r="P371" s="88"/>
      <c r="U371" s="56"/>
      <c r="W371" s="190"/>
      <c r="X371" s="56"/>
      <c r="Y371" s="161"/>
    </row>
    <row r="372" spans="1:25" ht="12.75">
      <c r="A372" s="191" t="s">
        <v>551</v>
      </c>
      <c r="B372" s="193"/>
      <c r="C372" s="193"/>
      <c r="D372" s="193" t="s">
        <v>552</v>
      </c>
      <c r="E372" s="194"/>
      <c r="F372" s="195" t="s">
        <v>553</v>
      </c>
      <c r="G372" s="196">
        <f>SUM(G373:G387)</f>
        <v>-79441531.816734344</v>
      </c>
      <c r="H372" s="196">
        <f>SUM(H373:H387)</f>
        <v>2751825.5093789864</v>
      </c>
      <c r="I372" s="196">
        <f t="shared" ref="I372:S372" si="115">SUM(I373:I387)</f>
        <v>2.7055193640990183E-9</v>
      </c>
      <c r="J372" s="196">
        <f>SUM(J373:J387)</f>
        <v>318316.36599999992</v>
      </c>
      <c r="K372" s="196">
        <f t="shared" si="115"/>
        <v>-748501.35199999996</v>
      </c>
      <c r="L372" s="196">
        <f t="shared" si="115"/>
        <v>0</v>
      </c>
      <c r="M372" s="196">
        <f>SUM(M373:M387)</f>
        <v>-77119891.293355376</v>
      </c>
      <c r="N372" s="196">
        <f t="shared" si="115"/>
        <v>-2225845.271360422</v>
      </c>
      <c r="O372" s="196">
        <f t="shared" si="115"/>
        <v>0</v>
      </c>
      <c r="P372" s="196">
        <f t="shared" si="115"/>
        <v>0</v>
      </c>
      <c r="Q372" s="196">
        <f t="shared" si="115"/>
        <v>0</v>
      </c>
      <c r="R372" s="196">
        <f t="shared" si="115"/>
        <v>669175.6939999999</v>
      </c>
      <c r="S372" s="196">
        <f t="shared" si="115"/>
        <v>-78676560.870715782</v>
      </c>
      <c r="U372" s="56"/>
      <c r="W372" s="197"/>
      <c r="X372" s="56"/>
      <c r="Y372" s="161"/>
    </row>
    <row r="373" spans="1:25" ht="12.75">
      <c r="A373" s="198" t="s">
        <v>554</v>
      </c>
      <c r="B373" s="199"/>
      <c r="C373" s="18"/>
      <c r="D373" s="18" t="s">
        <v>90</v>
      </c>
      <c r="E373" s="139">
        <f t="shared" ref="E373:E386" si="116">$E$315</f>
        <v>0.38899999999999996</v>
      </c>
      <c r="F373" s="181"/>
      <c r="G373" s="180">
        <f t="shared" ref="G373:H387" si="117">SUMIF($E$11:$E$283,$D373,G$11:G$283)*$W373</f>
        <v>-34678004.990259901</v>
      </c>
      <c r="H373" s="180">
        <f t="shared" si="117"/>
        <v>-1.945000001811422E-2</v>
      </c>
      <c r="I373" s="180">
        <f t="shared" ref="I373:I387" si="118">M373-G373-H373-J373-K373-L373</f>
        <v>4.6566128730773926E-10</v>
      </c>
      <c r="J373" s="180">
        <f t="shared" ref="J373:J387" si="119">SUMIF($E$11:$E$283,$D373,J$11:J$283)*$W373</f>
        <v>-876861.2379999999</v>
      </c>
      <c r="K373" s="180">
        <f t="shared" ref="K373:S387" si="120">SUMIF($E$11:$E$283,$D373,K$11:K$283)*$E373</f>
        <v>0</v>
      </c>
      <c r="L373" s="180">
        <f t="shared" si="120"/>
        <v>0</v>
      </c>
      <c r="M373" s="180">
        <f t="shared" si="120"/>
        <v>-35554866.2477099</v>
      </c>
      <c r="N373" s="180">
        <f t="shared" si="120"/>
        <v>-361869.01216999994</v>
      </c>
      <c r="O373" s="180">
        <f t="shared" si="120"/>
        <v>0</v>
      </c>
      <c r="P373" s="180">
        <f t="shared" si="120"/>
        <v>0</v>
      </c>
      <c r="Q373" s="180">
        <f t="shared" si="120"/>
        <v>0</v>
      </c>
      <c r="R373" s="180">
        <f t="shared" si="120"/>
        <v>0</v>
      </c>
      <c r="S373" s="180">
        <f t="shared" si="120"/>
        <v>-35916735.259879895</v>
      </c>
      <c r="U373" s="56">
        <f t="shared" ref="U373:U387" si="121">M373/E373</f>
        <v>-91400684.441413641</v>
      </c>
      <c r="W373" s="184">
        <f t="shared" ref="W373:W386" si="122">$W$315</f>
        <v>0.38899999999999996</v>
      </c>
      <c r="X373" s="56"/>
      <c r="Y373" s="161"/>
    </row>
    <row r="374" spans="1:25" ht="12.75">
      <c r="A374" s="198" t="s">
        <v>555</v>
      </c>
      <c r="B374" s="199"/>
      <c r="C374" s="18"/>
      <c r="D374" s="18" t="s">
        <v>556</v>
      </c>
      <c r="E374" s="139">
        <f t="shared" si="116"/>
        <v>0.38899999999999996</v>
      </c>
      <c r="F374" s="181"/>
      <c r="G374" s="180">
        <f t="shared" si="117"/>
        <v>0</v>
      </c>
      <c r="H374" s="180">
        <f t="shared" si="117"/>
        <v>0</v>
      </c>
      <c r="I374" s="180">
        <f t="shared" si="118"/>
        <v>0</v>
      </c>
      <c r="J374" s="180">
        <f t="shared" si="119"/>
        <v>0</v>
      </c>
      <c r="K374" s="180">
        <f t="shared" si="120"/>
        <v>0</v>
      </c>
      <c r="L374" s="180">
        <f t="shared" si="120"/>
        <v>0</v>
      </c>
      <c r="M374" s="180">
        <f t="shared" si="120"/>
        <v>0</v>
      </c>
      <c r="N374" s="180">
        <f t="shared" si="120"/>
        <v>0</v>
      </c>
      <c r="O374" s="180">
        <f t="shared" si="120"/>
        <v>0</v>
      </c>
      <c r="P374" s="180">
        <f t="shared" si="120"/>
        <v>0</v>
      </c>
      <c r="Q374" s="180">
        <f t="shared" si="120"/>
        <v>0</v>
      </c>
      <c r="R374" s="180">
        <f t="shared" si="120"/>
        <v>0</v>
      </c>
      <c r="S374" s="180">
        <f t="shared" si="120"/>
        <v>0</v>
      </c>
      <c r="U374" s="56">
        <f t="shared" si="121"/>
        <v>0</v>
      </c>
      <c r="W374" s="184">
        <f t="shared" si="122"/>
        <v>0.38899999999999996</v>
      </c>
      <c r="X374" s="56"/>
      <c r="Y374" s="161"/>
    </row>
    <row r="375" spans="1:25" ht="12.75">
      <c r="A375" s="198" t="s">
        <v>557</v>
      </c>
      <c r="B375" s="199"/>
      <c r="C375" s="18"/>
      <c r="D375" s="18" t="s">
        <v>113</v>
      </c>
      <c r="E375" s="139">
        <f t="shared" si="116"/>
        <v>0.38899999999999996</v>
      </c>
      <c r="F375" s="181"/>
      <c r="G375" s="180">
        <f t="shared" si="117"/>
        <v>-51062763.654931925</v>
      </c>
      <c r="H375" s="180">
        <f t="shared" si="117"/>
        <v>2753209.2488289867</v>
      </c>
      <c r="I375" s="180">
        <f t="shared" si="118"/>
        <v>2.3283064365386963E-9</v>
      </c>
      <c r="J375" s="180">
        <f t="shared" si="119"/>
        <v>1195177.6039999998</v>
      </c>
      <c r="K375" s="180">
        <f t="shared" si="120"/>
        <v>-748501.35199999996</v>
      </c>
      <c r="L375" s="180">
        <f t="shared" si="120"/>
        <v>0</v>
      </c>
      <c r="M375" s="180">
        <f t="shared" si="120"/>
        <v>-47862878.154102936</v>
      </c>
      <c r="N375" s="180">
        <f t="shared" si="120"/>
        <v>-2313823.5244004219</v>
      </c>
      <c r="O375" s="180">
        <f t="shared" si="120"/>
        <v>0</v>
      </c>
      <c r="P375" s="180">
        <f t="shared" si="120"/>
        <v>0</v>
      </c>
      <c r="Q375" s="180">
        <f t="shared" si="120"/>
        <v>0</v>
      </c>
      <c r="R375" s="180">
        <f t="shared" si="120"/>
        <v>669175.6939999999</v>
      </c>
      <c r="S375" s="180">
        <f t="shared" si="120"/>
        <v>-49507525.984503359</v>
      </c>
      <c r="U375" s="56">
        <f t="shared" si="121"/>
        <v>-123040817.87687132</v>
      </c>
      <c r="W375" s="184">
        <f t="shared" si="122"/>
        <v>0.38899999999999996</v>
      </c>
      <c r="X375" s="56"/>
      <c r="Y375" s="161"/>
    </row>
    <row r="376" spans="1:25" ht="12.75">
      <c r="A376" s="198" t="s">
        <v>558</v>
      </c>
      <c r="B376" s="199"/>
      <c r="C376" s="18"/>
      <c r="D376" s="18" t="s">
        <v>118</v>
      </c>
      <c r="E376" s="139">
        <f t="shared" si="116"/>
        <v>0.38899999999999996</v>
      </c>
      <c r="F376" s="181"/>
      <c r="G376" s="180">
        <f t="shared" si="117"/>
        <v>5331699.7409999995</v>
      </c>
      <c r="H376" s="180">
        <f t="shared" si="117"/>
        <v>0</v>
      </c>
      <c r="I376" s="180">
        <f t="shared" si="118"/>
        <v>0</v>
      </c>
      <c r="J376" s="180">
        <f t="shared" si="119"/>
        <v>0</v>
      </c>
      <c r="K376" s="180">
        <f t="shared" si="120"/>
        <v>0</v>
      </c>
      <c r="L376" s="180">
        <f t="shared" si="120"/>
        <v>0</v>
      </c>
      <c r="M376" s="180">
        <f t="shared" si="120"/>
        <v>5331699.7409999995</v>
      </c>
      <c r="N376" s="180">
        <f t="shared" si="120"/>
        <v>484790.0363199999</v>
      </c>
      <c r="O376" s="180">
        <f t="shared" si="120"/>
        <v>0</v>
      </c>
      <c r="P376" s="180">
        <f t="shared" si="120"/>
        <v>0</v>
      </c>
      <c r="Q376" s="180">
        <f t="shared" si="120"/>
        <v>0</v>
      </c>
      <c r="R376" s="180">
        <f t="shared" si="120"/>
        <v>0</v>
      </c>
      <c r="S376" s="180">
        <f t="shared" si="120"/>
        <v>5816489.7773199994</v>
      </c>
      <c r="U376" s="56">
        <f t="shared" si="121"/>
        <v>13706169</v>
      </c>
      <c r="W376" s="184">
        <f t="shared" si="122"/>
        <v>0.38899999999999996</v>
      </c>
      <c r="X376" s="56"/>
      <c r="Y376" s="161"/>
    </row>
    <row r="377" spans="1:25" ht="12.75">
      <c r="A377" s="198" t="s">
        <v>559</v>
      </c>
      <c r="B377" s="199"/>
      <c r="C377" s="18"/>
      <c r="D377" s="18" t="s">
        <v>146</v>
      </c>
      <c r="E377" s="139">
        <f t="shared" si="116"/>
        <v>0.38899999999999996</v>
      </c>
      <c r="F377" s="181"/>
      <c r="G377" s="180">
        <f t="shared" si="117"/>
        <v>104525.07799999999</v>
      </c>
      <c r="H377" s="180">
        <f t="shared" si="117"/>
        <v>0</v>
      </c>
      <c r="I377" s="180">
        <f t="shared" si="118"/>
        <v>0</v>
      </c>
      <c r="J377" s="180">
        <f t="shared" si="119"/>
        <v>0</v>
      </c>
      <c r="K377" s="180">
        <f t="shared" si="120"/>
        <v>0</v>
      </c>
      <c r="L377" s="180">
        <f t="shared" si="120"/>
        <v>0</v>
      </c>
      <c r="M377" s="180">
        <f t="shared" si="120"/>
        <v>104525.07799999999</v>
      </c>
      <c r="N377" s="180">
        <f t="shared" si="120"/>
        <v>0</v>
      </c>
      <c r="O377" s="180">
        <f t="shared" si="120"/>
        <v>0</v>
      </c>
      <c r="P377" s="180">
        <f t="shared" si="120"/>
        <v>0</v>
      </c>
      <c r="Q377" s="180">
        <f t="shared" si="120"/>
        <v>0</v>
      </c>
      <c r="R377" s="180">
        <f t="shared" si="120"/>
        <v>0</v>
      </c>
      <c r="S377" s="180">
        <f t="shared" si="120"/>
        <v>104525.07799999999</v>
      </c>
      <c r="U377" s="56">
        <f t="shared" si="121"/>
        <v>268702</v>
      </c>
      <c r="W377" s="184">
        <f t="shared" si="122"/>
        <v>0.38899999999999996</v>
      </c>
      <c r="X377" s="56"/>
      <c r="Y377" s="161"/>
    </row>
    <row r="378" spans="1:25" ht="12.75">
      <c r="A378" s="200" t="s">
        <v>476</v>
      </c>
      <c r="B378" s="199"/>
      <c r="C378" s="201"/>
      <c r="D378" s="201" t="s">
        <v>560</v>
      </c>
      <c r="E378" s="139">
        <f t="shared" si="116"/>
        <v>0.38899999999999996</v>
      </c>
      <c r="F378" s="181"/>
      <c r="G378" s="180">
        <f t="shared" si="117"/>
        <v>0</v>
      </c>
      <c r="H378" s="180">
        <f t="shared" si="117"/>
        <v>0</v>
      </c>
      <c r="I378" s="180">
        <f t="shared" si="118"/>
        <v>0</v>
      </c>
      <c r="J378" s="180">
        <f t="shared" si="119"/>
        <v>0</v>
      </c>
      <c r="K378" s="180">
        <f t="shared" si="120"/>
        <v>0</v>
      </c>
      <c r="L378" s="180">
        <f t="shared" si="120"/>
        <v>0</v>
      </c>
      <c r="M378" s="180">
        <f t="shared" si="120"/>
        <v>0</v>
      </c>
      <c r="N378" s="180">
        <f t="shared" si="120"/>
        <v>0</v>
      </c>
      <c r="O378" s="180">
        <f t="shared" si="120"/>
        <v>0</v>
      </c>
      <c r="P378" s="180">
        <f t="shared" si="120"/>
        <v>0</v>
      </c>
      <c r="Q378" s="180">
        <f t="shared" si="120"/>
        <v>0</v>
      </c>
      <c r="R378" s="180">
        <f t="shared" si="120"/>
        <v>0</v>
      </c>
      <c r="S378" s="180">
        <f t="shared" si="120"/>
        <v>0</v>
      </c>
      <c r="U378" s="56">
        <f t="shared" si="121"/>
        <v>0</v>
      </c>
      <c r="W378" s="184">
        <f t="shared" si="122"/>
        <v>0.38899999999999996</v>
      </c>
      <c r="X378" s="56"/>
      <c r="Y378" s="161"/>
    </row>
    <row r="379" spans="1:25" ht="12.75">
      <c r="A379" s="200" t="s">
        <v>561</v>
      </c>
      <c r="B379" s="199"/>
      <c r="C379" s="201"/>
      <c r="D379" s="201" t="s">
        <v>562</v>
      </c>
      <c r="E379" s="139">
        <f t="shared" si="116"/>
        <v>0.38899999999999996</v>
      </c>
      <c r="F379" s="181"/>
      <c r="G379" s="180">
        <f t="shared" si="117"/>
        <v>0</v>
      </c>
      <c r="H379" s="180">
        <f t="shared" si="117"/>
        <v>0</v>
      </c>
      <c r="I379" s="180">
        <f t="shared" si="118"/>
        <v>0</v>
      </c>
      <c r="J379" s="180">
        <f t="shared" si="119"/>
        <v>0</v>
      </c>
      <c r="K379" s="180">
        <f t="shared" si="120"/>
        <v>0</v>
      </c>
      <c r="L379" s="180">
        <f t="shared" si="120"/>
        <v>0</v>
      </c>
      <c r="M379" s="180">
        <f t="shared" si="120"/>
        <v>0</v>
      </c>
      <c r="N379" s="180">
        <f t="shared" si="120"/>
        <v>0</v>
      </c>
      <c r="O379" s="180">
        <f t="shared" si="120"/>
        <v>0</v>
      </c>
      <c r="P379" s="180">
        <f t="shared" si="120"/>
        <v>0</v>
      </c>
      <c r="Q379" s="180">
        <f t="shared" si="120"/>
        <v>0</v>
      </c>
      <c r="R379" s="180">
        <f t="shared" si="120"/>
        <v>0</v>
      </c>
      <c r="S379" s="180">
        <f t="shared" si="120"/>
        <v>0</v>
      </c>
      <c r="U379" s="56">
        <f t="shared" si="121"/>
        <v>0</v>
      </c>
      <c r="W379" s="184">
        <f t="shared" si="122"/>
        <v>0.38899999999999996</v>
      </c>
      <c r="X379" s="56"/>
      <c r="Y379" s="161"/>
    </row>
    <row r="380" spans="1:25" ht="12.75">
      <c r="A380" s="198" t="s">
        <v>563</v>
      </c>
      <c r="B380" s="199"/>
      <c r="C380" s="18"/>
      <c r="D380" s="18" t="s">
        <v>564</v>
      </c>
      <c r="E380" s="139">
        <f t="shared" si="116"/>
        <v>0.38899999999999996</v>
      </c>
      <c r="F380" s="181"/>
      <c r="G380" s="180">
        <f t="shared" si="117"/>
        <v>0</v>
      </c>
      <c r="H380" s="180">
        <f t="shared" si="117"/>
        <v>0</v>
      </c>
      <c r="I380" s="180">
        <f t="shared" si="118"/>
        <v>0</v>
      </c>
      <c r="J380" s="180">
        <f t="shared" si="119"/>
        <v>0</v>
      </c>
      <c r="K380" s="180">
        <f t="shared" si="120"/>
        <v>0</v>
      </c>
      <c r="L380" s="180">
        <f t="shared" si="120"/>
        <v>0</v>
      </c>
      <c r="M380" s="180">
        <f t="shared" si="120"/>
        <v>0</v>
      </c>
      <c r="N380" s="180">
        <f t="shared" si="120"/>
        <v>0</v>
      </c>
      <c r="O380" s="180">
        <f t="shared" si="120"/>
        <v>0</v>
      </c>
      <c r="P380" s="180">
        <f t="shared" si="120"/>
        <v>0</v>
      </c>
      <c r="Q380" s="180">
        <f t="shared" si="120"/>
        <v>0</v>
      </c>
      <c r="R380" s="180">
        <f t="shared" si="120"/>
        <v>0</v>
      </c>
      <c r="S380" s="180">
        <f t="shared" si="120"/>
        <v>0</v>
      </c>
      <c r="U380" s="56">
        <f t="shared" si="121"/>
        <v>0</v>
      </c>
      <c r="W380" s="184">
        <f t="shared" si="122"/>
        <v>0.38899999999999996</v>
      </c>
      <c r="X380" s="56"/>
      <c r="Y380" s="161"/>
    </row>
    <row r="381" spans="1:25" ht="12.75">
      <c r="A381" s="215" t="s">
        <v>565</v>
      </c>
      <c r="B381" s="199"/>
      <c r="C381" s="201"/>
      <c r="D381" s="201" t="s">
        <v>566</v>
      </c>
      <c r="E381" s="139">
        <f t="shared" si="116"/>
        <v>0.38899999999999996</v>
      </c>
      <c r="F381" s="181"/>
      <c r="G381" s="180">
        <f t="shared" si="117"/>
        <v>0</v>
      </c>
      <c r="H381" s="180">
        <f t="shared" si="117"/>
        <v>0</v>
      </c>
      <c r="I381" s="180">
        <f t="shared" si="118"/>
        <v>0</v>
      </c>
      <c r="J381" s="180">
        <f t="shared" si="119"/>
        <v>0</v>
      </c>
      <c r="K381" s="180">
        <f t="shared" si="120"/>
        <v>0</v>
      </c>
      <c r="L381" s="180">
        <f t="shared" si="120"/>
        <v>0</v>
      </c>
      <c r="M381" s="180">
        <f t="shared" si="120"/>
        <v>0</v>
      </c>
      <c r="N381" s="180">
        <f t="shared" si="120"/>
        <v>0</v>
      </c>
      <c r="O381" s="180">
        <f t="shared" si="120"/>
        <v>0</v>
      </c>
      <c r="P381" s="180">
        <f t="shared" si="120"/>
        <v>0</v>
      </c>
      <c r="Q381" s="180">
        <f t="shared" si="120"/>
        <v>0</v>
      </c>
      <c r="R381" s="180">
        <f t="shared" si="120"/>
        <v>0</v>
      </c>
      <c r="S381" s="180">
        <f t="shared" si="120"/>
        <v>0</v>
      </c>
      <c r="U381" s="56">
        <f t="shared" si="121"/>
        <v>0</v>
      </c>
      <c r="W381" s="184">
        <f t="shared" si="122"/>
        <v>0.38899999999999996</v>
      </c>
      <c r="X381" s="56"/>
      <c r="Y381" s="161"/>
    </row>
    <row r="382" spans="1:25" ht="12.75">
      <c r="A382" s="215" t="s">
        <v>567</v>
      </c>
      <c r="B382" s="199"/>
      <c r="C382" s="201"/>
      <c r="D382" s="201" t="s">
        <v>568</v>
      </c>
      <c r="E382" s="139">
        <f t="shared" si="116"/>
        <v>0.38899999999999996</v>
      </c>
      <c r="F382" s="181"/>
      <c r="G382" s="180">
        <f t="shared" si="117"/>
        <v>0</v>
      </c>
      <c r="H382" s="180">
        <f t="shared" si="117"/>
        <v>0</v>
      </c>
      <c r="I382" s="180">
        <f t="shared" si="118"/>
        <v>0</v>
      </c>
      <c r="J382" s="180">
        <f t="shared" si="119"/>
        <v>0</v>
      </c>
      <c r="K382" s="180">
        <f t="shared" si="120"/>
        <v>0</v>
      </c>
      <c r="L382" s="180">
        <f t="shared" si="120"/>
        <v>0</v>
      </c>
      <c r="M382" s="180">
        <f t="shared" si="120"/>
        <v>0</v>
      </c>
      <c r="N382" s="180">
        <f t="shared" si="120"/>
        <v>0</v>
      </c>
      <c r="O382" s="180">
        <f t="shared" si="120"/>
        <v>0</v>
      </c>
      <c r="P382" s="180">
        <f t="shared" si="120"/>
        <v>0</v>
      </c>
      <c r="Q382" s="180">
        <f t="shared" si="120"/>
        <v>0</v>
      </c>
      <c r="R382" s="180">
        <f t="shared" si="120"/>
        <v>0</v>
      </c>
      <c r="S382" s="180">
        <f t="shared" si="120"/>
        <v>0</v>
      </c>
      <c r="U382" s="56">
        <f t="shared" si="121"/>
        <v>0</v>
      </c>
      <c r="W382" s="184">
        <f t="shared" si="122"/>
        <v>0.38899999999999996</v>
      </c>
      <c r="X382" s="56"/>
      <c r="Y382" s="161"/>
    </row>
    <row r="383" spans="1:25" ht="12.75">
      <c r="A383" s="215" t="s">
        <v>569</v>
      </c>
      <c r="B383" s="199"/>
      <c r="C383" s="201"/>
      <c r="D383" s="201" t="s">
        <v>570</v>
      </c>
      <c r="E383" s="139">
        <f t="shared" si="116"/>
        <v>0.38899999999999996</v>
      </c>
      <c r="F383" s="181"/>
      <c r="G383" s="180">
        <f t="shared" si="117"/>
        <v>0</v>
      </c>
      <c r="H383" s="180">
        <f t="shared" si="117"/>
        <v>0</v>
      </c>
      <c r="I383" s="180">
        <f t="shared" si="118"/>
        <v>0</v>
      </c>
      <c r="J383" s="180">
        <f t="shared" si="119"/>
        <v>0</v>
      </c>
      <c r="K383" s="180">
        <f t="shared" si="120"/>
        <v>0</v>
      </c>
      <c r="L383" s="180">
        <f t="shared" si="120"/>
        <v>0</v>
      </c>
      <c r="M383" s="180">
        <f t="shared" si="120"/>
        <v>0</v>
      </c>
      <c r="N383" s="180">
        <f t="shared" si="120"/>
        <v>0</v>
      </c>
      <c r="O383" s="180">
        <f t="shared" si="120"/>
        <v>0</v>
      </c>
      <c r="P383" s="180">
        <f t="shared" si="120"/>
        <v>0</v>
      </c>
      <c r="Q383" s="180">
        <f t="shared" si="120"/>
        <v>0</v>
      </c>
      <c r="R383" s="180">
        <f t="shared" si="120"/>
        <v>0</v>
      </c>
      <c r="S383" s="180">
        <f t="shared" si="120"/>
        <v>0</v>
      </c>
      <c r="U383" s="56">
        <f t="shared" si="121"/>
        <v>0</v>
      </c>
      <c r="W383" s="184">
        <f t="shared" si="122"/>
        <v>0.38899999999999996</v>
      </c>
      <c r="X383" s="56"/>
      <c r="Y383" s="161"/>
    </row>
    <row r="384" spans="1:25" ht="12.75">
      <c r="A384" s="215" t="s">
        <v>571</v>
      </c>
      <c r="B384" s="199"/>
      <c r="C384" s="201"/>
      <c r="D384" s="201" t="s">
        <v>268</v>
      </c>
      <c r="E384" s="139">
        <f t="shared" si="116"/>
        <v>0.38899999999999996</v>
      </c>
      <c r="F384" s="181"/>
      <c r="G384" s="180">
        <f t="shared" si="117"/>
        <v>0</v>
      </c>
      <c r="H384" s="180">
        <f t="shared" si="117"/>
        <v>0</v>
      </c>
      <c r="I384" s="180">
        <f t="shared" si="118"/>
        <v>0</v>
      </c>
      <c r="J384" s="180">
        <f t="shared" si="119"/>
        <v>0</v>
      </c>
      <c r="K384" s="180">
        <f t="shared" si="120"/>
        <v>0</v>
      </c>
      <c r="L384" s="180">
        <f t="shared" si="120"/>
        <v>0</v>
      </c>
      <c r="M384" s="180">
        <f t="shared" si="120"/>
        <v>0</v>
      </c>
      <c r="N384" s="180">
        <f t="shared" si="120"/>
        <v>0</v>
      </c>
      <c r="O384" s="180">
        <f t="shared" si="120"/>
        <v>0</v>
      </c>
      <c r="P384" s="180">
        <f t="shared" si="120"/>
        <v>0</v>
      </c>
      <c r="Q384" s="180">
        <f t="shared" si="120"/>
        <v>0</v>
      </c>
      <c r="R384" s="180">
        <f t="shared" si="120"/>
        <v>0</v>
      </c>
      <c r="S384" s="180">
        <f t="shared" si="120"/>
        <v>0</v>
      </c>
      <c r="U384" s="56">
        <f t="shared" si="121"/>
        <v>0</v>
      </c>
      <c r="W384" s="184">
        <f t="shared" si="122"/>
        <v>0.38899999999999996</v>
      </c>
      <c r="X384" s="56"/>
      <c r="Y384" s="161"/>
    </row>
    <row r="385" spans="1:25" ht="12.75">
      <c r="A385" s="198" t="s">
        <v>572</v>
      </c>
      <c r="B385" s="199"/>
      <c r="C385" s="18"/>
      <c r="D385" s="18" t="s">
        <v>126</v>
      </c>
      <c r="E385" s="139">
        <f t="shared" si="116"/>
        <v>0.38899999999999996</v>
      </c>
      <c r="F385" s="181"/>
      <c r="G385" s="180">
        <f t="shared" si="117"/>
        <v>0</v>
      </c>
      <c r="H385" s="180">
        <f t="shared" si="117"/>
        <v>0</v>
      </c>
      <c r="I385" s="180">
        <f t="shared" si="118"/>
        <v>0</v>
      </c>
      <c r="J385" s="180">
        <f t="shared" si="119"/>
        <v>0</v>
      </c>
      <c r="K385" s="180">
        <f t="shared" si="120"/>
        <v>0</v>
      </c>
      <c r="L385" s="180">
        <f t="shared" si="120"/>
        <v>0</v>
      </c>
      <c r="M385" s="180">
        <f t="shared" si="120"/>
        <v>0</v>
      </c>
      <c r="N385" s="180">
        <f t="shared" si="120"/>
        <v>0</v>
      </c>
      <c r="O385" s="180">
        <f t="shared" si="120"/>
        <v>0</v>
      </c>
      <c r="P385" s="180">
        <f t="shared" si="120"/>
        <v>0</v>
      </c>
      <c r="Q385" s="180">
        <f t="shared" si="120"/>
        <v>0</v>
      </c>
      <c r="R385" s="180">
        <f t="shared" si="120"/>
        <v>0</v>
      </c>
      <c r="S385" s="180">
        <f t="shared" si="120"/>
        <v>0</v>
      </c>
      <c r="U385" s="56">
        <f t="shared" si="121"/>
        <v>0</v>
      </c>
      <c r="W385" s="184">
        <f t="shared" si="122"/>
        <v>0.38899999999999996</v>
      </c>
      <c r="X385" s="56"/>
      <c r="Y385" s="161"/>
    </row>
    <row r="386" spans="1:25" ht="12.75">
      <c r="A386" s="198" t="s">
        <v>573</v>
      </c>
      <c r="B386" s="199"/>
      <c r="C386" s="18"/>
      <c r="D386" s="18" t="s">
        <v>107</v>
      </c>
      <c r="E386" s="139">
        <f t="shared" si="116"/>
        <v>0.38899999999999996</v>
      </c>
      <c r="F386" s="181"/>
      <c r="G386" s="180">
        <f t="shared" si="117"/>
        <v>0</v>
      </c>
      <c r="H386" s="180">
        <f t="shared" si="117"/>
        <v>0</v>
      </c>
      <c r="I386" s="180">
        <f t="shared" si="118"/>
        <v>0</v>
      </c>
      <c r="J386" s="180">
        <f t="shared" si="119"/>
        <v>0</v>
      </c>
      <c r="K386" s="180">
        <f t="shared" si="120"/>
        <v>0</v>
      </c>
      <c r="L386" s="180">
        <f t="shared" si="120"/>
        <v>0</v>
      </c>
      <c r="M386" s="180">
        <f t="shared" si="120"/>
        <v>0</v>
      </c>
      <c r="N386" s="180">
        <f t="shared" si="120"/>
        <v>0</v>
      </c>
      <c r="O386" s="180">
        <f t="shared" si="120"/>
        <v>0</v>
      </c>
      <c r="P386" s="180">
        <f t="shared" si="120"/>
        <v>0</v>
      </c>
      <c r="Q386" s="180">
        <f t="shared" si="120"/>
        <v>0</v>
      </c>
      <c r="R386" s="180">
        <f t="shared" si="120"/>
        <v>0</v>
      </c>
      <c r="S386" s="180">
        <f t="shared" si="120"/>
        <v>0</v>
      </c>
      <c r="U386" s="56">
        <f t="shared" si="121"/>
        <v>0</v>
      </c>
      <c r="W386" s="184">
        <f t="shared" si="122"/>
        <v>0.38899999999999996</v>
      </c>
      <c r="X386" s="56"/>
      <c r="Y386" s="161"/>
    </row>
    <row r="387" spans="1:25" ht="12.75">
      <c r="A387" s="198" t="s">
        <v>574</v>
      </c>
      <c r="C387" s="216" t="s">
        <v>575</v>
      </c>
      <c r="D387" s="18" t="s">
        <v>358</v>
      </c>
      <c r="E387" s="139">
        <f>$E$334</f>
        <v>3.9E-2</v>
      </c>
      <c r="F387" s="181"/>
      <c r="G387" s="180">
        <f t="shared" si="117"/>
        <v>863012.0094574769</v>
      </c>
      <c r="H387" s="180">
        <f t="shared" si="117"/>
        <v>-1383.72</v>
      </c>
      <c r="I387" s="180">
        <f t="shared" si="118"/>
        <v>-8.8448359747417271E-11</v>
      </c>
      <c r="J387" s="180">
        <f t="shared" si="119"/>
        <v>0</v>
      </c>
      <c r="K387" s="180">
        <f t="shared" si="120"/>
        <v>0</v>
      </c>
      <c r="L387" s="180">
        <f t="shared" si="120"/>
        <v>0</v>
      </c>
      <c r="M387" s="180">
        <f t="shared" si="120"/>
        <v>861628.28945747681</v>
      </c>
      <c r="N387" s="180">
        <f t="shared" si="120"/>
        <v>-34942.771110000009</v>
      </c>
      <c r="O387" s="180">
        <f t="shared" si="120"/>
        <v>0</v>
      </c>
      <c r="P387" s="180">
        <f t="shared" si="120"/>
        <v>0</v>
      </c>
      <c r="Q387" s="180">
        <f t="shared" si="120"/>
        <v>0</v>
      </c>
      <c r="R387" s="180">
        <f t="shared" si="120"/>
        <v>0</v>
      </c>
      <c r="S387" s="180">
        <f t="shared" si="120"/>
        <v>826685.51834747684</v>
      </c>
      <c r="U387" s="56">
        <f t="shared" si="121"/>
        <v>22093033.063012227</v>
      </c>
      <c r="W387" s="184">
        <f>$W$334</f>
        <v>3.9E-2</v>
      </c>
      <c r="X387" s="56"/>
      <c r="Y387" s="161"/>
    </row>
    <row r="388" spans="1:25" ht="12.75">
      <c r="A388" s="191" t="s">
        <v>576</v>
      </c>
      <c r="B388" s="192"/>
      <c r="C388" s="193"/>
      <c r="D388" s="193" t="s">
        <v>577</v>
      </c>
      <c r="E388" s="194"/>
      <c r="F388" s="195" t="s">
        <v>553</v>
      </c>
      <c r="G388" s="196">
        <f>SUM(G389:G397)</f>
        <v>-119328.02564999998</v>
      </c>
      <c r="H388" s="196">
        <f>SUM(H389:H397)</f>
        <v>0</v>
      </c>
      <c r="I388" s="196">
        <f t="shared" ref="I388:S388" si="123">SUM(I389:I397)</f>
        <v>0</v>
      </c>
      <c r="J388" s="196">
        <f>SUM(J389:J397)</f>
        <v>0</v>
      </c>
      <c r="K388" s="196">
        <f t="shared" si="123"/>
        <v>0</v>
      </c>
      <c r="L388" s="196">
        <f t="shared" si="123"/>
        <v>0</v>
      </c>
      <c r="M388" s="196">
        <f>SUM(M389:M397)</f>
        <v>-119328.02564999998</v>
      </c>
      <c r="N388" s="196">
        <f t="shared" si="123"/>
        <v>0</v>
      </c>
      <c r="O388" s="196">
        <f t="shared" si="123"/>
        <v>0</v>
      </c>
      <c r="P388" s="196">
        <f t="shared" si="123"/>
        <v>0</v>
      </c>
      <c r="Q388" s="196">
        <f t="shared" si="123"/>
        <v>0</v>
      </c>
      <c r="R388" s="196">
        <f t="shared" si="123"/>
        <v>0</v>
      </c>
      <c r="S388" s="196">
        <f t="shared" si="123"/>
        <v>-119328.02564999998</v>
      </c>
      <c r="U388" s="56"/>
      <c r="W388" s="197"/>
      <c r="X388" s="56"/>
      <c r="Y388" s="161"/>
    </row>
    <row r="389" spans="1:25" ht="12.75">
      <c r="A389" s="198" t="s">
        <v>554</v>
      </c>
      <c r="B389" s="199"/>
      <c r="C389" s="18"/>
      <c r="D389" s="18" t="s">
        <v>123</v>
      </c>
      <c r="E389" s="139">
        <f t="shared" ref="E389:E399" si="124">$E$315</f>
        <v>0.38899999999999996</v>
      </c>
      <c r="F389" s="181"/>
      <c r="G389" s="180">
        <f t="shared" ref="G389:H399" si="125">SUMIF($E$11:$E$283,$D389,G$11:G$283)*$W389</f>
        <v>27203.995349999994</v>
      </c>
      <c r="H389" s="180">
        <f t="shared" si="125"/>
        <v>0</v>
      </c>
      <c r="I389" s="180">
        <f t="shared" ref="I389:I397" si="126">M389-G389-H389-J389-K389-L389</f>
        <v>0</v>
      </c>
      <c r="J389" s="180">
        <f t="shared" ref="J389:J399" si="127">SUMIF($E$11:$E$283,$D389,J$11:J$283)*$W389</f>
        <v>0</v>
      </c>
      <c r="K389" s="180">
        <f t="shared" ref="K389:S399" si="128">SUMIF($E$11:$E$283,$D389,K$11:K$283)*$E389</f>
        <v>0</v>
      </c>
      <c r="L389" s="180">
        <f t="shared" si="128"/>
        <v>0</v>
      </c>
      <c r="M389" s="180">
        <f t="shared" si="128"/>
        <v>27203.995349999994</v>
      </c>
      <c r="N389" s="180">
        <f t="shared" si="128"/>
        <v>0</v>
      </c>
      <c r="O389" s="180">
        <f t="shared" si="128"/>
        <v>0</v>
      </c>
      <c r="P389" s="180">
        <f t="shared" si="128"/>
        <v>0</v>
      </c>
      <c r="Q389" s="180">
        <f t="shared" si="128"/>
        <v>0</v>
      </c>
      <c r="R389" s="180">
        <f t="shared" si="128"/>
        <v>0</v>
      </c>
      <c r="S389" s="180">
        <f t="shared" si="128"/>
        <v>27203.995349999994</v>
      </c>
      <c r="U389" s="56">
        <f t="shared" ref="U389:U399" si="129">M389/E389</f>
        <v>69933.149999999994</v>
      </c>
      <c r="W389" s="184">
        <f t="shared" ref="W389:W399" si="130">$W$315</f>
        <v>0.38899999999999996</v>
      </c>
      <c r="X389" s="56"/>
      <c r="Y389" s="161"/>
    </row>
    <row r="390" spans="1:25" ht="12.75">
      <c r="A390" s="198" t="s">
        <v>555</v>
      </c>
      <c r="B390" s="199"/>
      <c r="C390" s="18"/>
      <c r="D390" s="18" t="s">
        <v>578</v>
      </c>
      <c r="E390" s="139">
        <f t="shared" si="124"/>
        <v>0.38899999999999996</v>
      </c>
      <c r="F390" s="181"/>
      <c r="G390" s="180">
        <f t="shared" si="125"/>
        <v>0</v>
      </c>
      <c r="H390" s="180">
        <f t="shared" si="125"/>
        <v>0</v>
      </c>
      <c r="I390" s="180">
        <f t="shared" si="126"/>
        <v>0</v>
      </c>
      <c r="J390" s="180">
        <f t="shared" si="127"/>
        <v>0</v>
      </c>
      <c r="K390" s="180">
        <f t="shared" si="128"/>
        <v>0</v>
      </c>
      <c r="L390" s="180">
        <f t="shared" si="128"/>
        <v>0</v>
      </c>
      <c r="M390" s="180">
        <f t="shared" si="128"/>
        <v>0</v>
      </c>
      <c r="N390" s="180">
        <f t="shared" si="128"/>
        <v>0</v>
      </c>
      <c r="O390" s="180">
        <f t="shared" si="128"/>
        <v>0</v>
      </c>
      <c r="P390" s="180">
        <f t="shared" si="128"/>
        <v>0</v>
      </c>
      <c r="Q390" s="180">
        <f t="shared" si="128"/>
        <v>0</v>
      </c>
      <c r="R390" s="180">
        <f t="shared" si="128"/>
        <v>0</v>
      </c>
      <c r="S390" s="180">
        <f t="shared" si="128"/>
        <v>0</v>
      </c>
      <c r="U390" s="56">
        <f t="shared" si="129"/>
        <v>0</v>
      </c>
      <c r="W390" s="184">
        <f t="shared" si="130"/>
        <v>0.38899999999999996</v>
      </c>
      <c r="X390" s="56"/>
      <c r="Y390" s="161"/>
    </row>
    <row r="391" spans="1:25" ht="12.75">
      <c r="A391" s="198" t="s">
        <v>579</v>
      </c>
      <c r="B391" s="199"/>
      <c r="C391" s="18"/>
      <c r="D391" s="18" t="s">
        <v>131</v>
      </c>
      <c r="E391" s="139">
        <f t="shared" si="124"/>
        <v>0.38899999999999996</v>
      </c>
      <c r="F391" s="181"/>
      <c r="G391" s="180">
        <f t="shared" si="125"/>
        <v>-146532.02099999998</v>
      </c>
      <c r="H391" s="180">
        <f t="shared" si="125"/>
        <v>0</v>
      </c>
      <c r="I391" s="180">
        <f t="shared" si="126"/>
        <v>0</v>
      </c>
      <c r="J391" s="180">
        <f t="shared" si="127"/>
        <v>0</v>
      </c>
      <c r="K391" s="180">
        <f t="shared" si="128"/>
        <v>0</v>
      </c>
      <c r="L391" s="180">
        <f t="shared" si="128"/>
        <v>0</v>
      </c>
      <c r="M391" s="180">
        <f t="shared" si="128"/>
        <v>-146532.02099999998</v>
      </c>
      <c r="N391" s="180">
        <f t="shared" si="128"/>
        <v>0</v>
      </c>
      <c r="O391" s="180">
        <f t="shared" si="128"/>
        <v>0</v>
      </c>
      <c r="P391" s="180">
        <f t="shared" si="128"/>
        <v>0</v>
      </c>
      <c r="Q391" s="180">
        <f t="shared" si="128"/>
        <v>0</v>
      </c>
      <c r="R391" s="180">
        <f t="shared" si="128"/>
        <v>0</v>
      </c>
      <c r="S391" s="180">
        <f t="shared" si="128"/>
        <v>-146532.02099999998</v>
      </c>
      <c r="U391" s="56">
        <f t="shared" si="129"/>
        <v>-376689</v>
      </c>
      <c r="W391" s="184">
        <f t="shared" si="130"/>
        <v>0.38899999999999996</v>
      </c>
      <c r="X391" s="56"/>
      <c r="Y391" s="161"/>
    </row>
    <row r="392" spans="1:25" ht="12.75">
      <c r="A392" s="198" t="s">
        <v>580</v>
      </c>
      <c r="B392" s="199"/>
      <c r="C392" s="18"/>
      <c r="D392" s="18" t="s">
        <v>581</v>
      </c>
      <c r="E392" s="139">
        <f t="shared" si="124"/>
        <v>0.38899999999999996</v>
      </c>
      <c r="F392" s="181"/>
      <c r="G392" s="180">
        <f t="shared" si="125"/>
        <v>0</v>
      </c>
      <c r="H392" s="180">
        <f t="shared" si="125"/>
        <v>0</v>
      </c>
      <c r="I392" s="180">
        <f t="shared" si="126"/>
        <v>0</v>
      </c>
      <c r="J392" s="180">
        <f t="shared" si="127"/>
        <v>0</v>
      </c>
      <c r="K392" s="180">
        <f t="shared" si="128"/>
        <v>0</v>
      </c>
      <c r="L392" s="180">
        <f t="shared" si="128"/>
        <v>0</v>
      </c>
      <c r="M392" s="180">
        <f t="shared" si="128"/>
        <v>0</v>
      </c>
      <c r="N392" s="180">
        <f t="shared" si="128"/>
        <v>0</v>
      </c>
      <c r="O392" s="180">
        <f t="shared" si="128"/>
        <v>0</v>
      </c>
      <c r="P392" s="180">
        <f t="shared" si="128"/>
        <v>0</v>
      </c>
      <c r="Q392" s="180">
        <f t="shared" si="128"/>
        <v>0</v>
      </c>
      <c r="R392" s="180">
        <f t="shared" si="128"/>
        <v>0</v>
      </c>
      <c r="S392" s="180">
        <f t="shared" si="128"/>
        <v>0</v>
      </c>
      <c r="U392" s="56">
        <f t="shared" si="129"/>
        <v>0</v>
      </c>
      <c r="W392" s="184">
        <f t="shared" si="130"/>
        <v>0.38899999999999996</v>
      </c>
      <c r="X392" s="56"/>
      <c r="Y392" s="161"/>
    </row>
    <row r="393" spans="1:25" ht="12.75">
      <c r="A393" s="215" t="s">
        <v>582</v>
      </c>
      <c r="B393" s="199"/>
      <c r="C393" s="201"/>
      <c r="D393" s="201" t="s">
        <v>583</v>
      </c>
      <c r="E393" s="139">
        <f t="shared" si="124"/>
        <v>0.38899999999999996</v>
      </c>
      <c r="F393" s="181"/>
      <c r="G393" s="180">
        <f t="shared" si="125"/>
        <v>0</v>
      </c>
      <c r="H393" s="180">
        <f t="shared" si="125"/>
        <v>0</v>
      </c>
      <c r="I393" s="180">
        <f t="shared" si="126"/>
        <v>0</v>
      </c>
      <c r="J393" s="180">
        <f t="shared" si="127"/>
        <v>0</v>
      </c>
      <c r="K393" s="180">
        <f t="shared" si="128"/>
        <v>0</v>
      </c>
      <c r="L393" s="180">
        <f t="shared" si="128"/>
        <v>0</v>
      </c>
      <c r="M393" s="180">
        <f t="shared" si="128"/>
        <v>0</v>
      </c>
      <c r="N393" s="180">
        <f t="shared" si="128"/>
        <v>0</v>
      </c>
      <c r="O393" s="180">
        <f t="shared" si="128"/>
        <v>0</v>
      </c>
      <c r="P393" s="180">
        <f t="shared" si="128"/>
        <v>0</v>
      </c>
      <c r="Q393" s="180">
        <f t="shared" si="128"/>
        <v>0</v>
      </c>
      <c r="R393" s="180">
        <f t="shared" si="128"/>
        <v>0</v>
      </c>
      <c r="S393" s="180">
        <f t="shared" si="128"/>
        <v>0</v>
      </c>
      <c r="U393" s="56">
        <f t="shared" si="129"/>
        <v>0</v>
      </c>
      <c r="W393" s="184">
        <f t="shared" si="130"/>
        <v>0.38899999999999996</v>
      </c>
      <c r="X393" s="56"/>
      <c r="Y393" s="161"/>
    </row>
    <row r="394" spans="1:25" ht="12.75">
      <c r="A394" s="215" t="s">
        <v>584</v>
      </c>
      <c r="B394" s="199"/>
      <c r="C394" s="201"/>
      <c r="D394" s="201" t="s">
        <v>585</v>
      </c>
      <c r="E394" s="139">
        <f t="shared" si="124"/>
        <v>0.38899999999999996</v>
      </c>
      <c r="F394" s="181"/>
      <c r="G394" s="180">
        <f t="shared" si="125"/>
        <v>0</v>
      </c>
      <c r="H394" s="180">
        <f t="shared" si="125"/>
        <v>0</v>
      </c>
      <c r="I394" s="180">
        <f t="shared" si="126"/>
        <v>0</v>
      </c>
      <c r="J394" s="180">
        <f t="shared" si="127"/>
        <v>0</v>
      </c>
      <c r="K394" s="180">
        <f t="shared" si="128"/>
        <v>0</v>
      </c>
      <c r="L394" s="180">
        <f t="shared" si="128"/>
        <v>0</v>
      </c>
      <c r="M394" s="180">
        <f t="shared" si="128"/>
        <v>0</v>
      </c>
      <c r="N394" s="180">
        <f t="shared" si="128"/>
        <v>0</v>
      </c>
      <c r="O394" s="180">
        <f t="shared" si="128"/>
        <v>0</v>
      </c>
      <c r="P394" s="180">
        <f t="shared" si="128"/>
        <v>0</v>
      </c>
      <c r="Q394" s="180">
        <f t="shared" si="128"/>
        <v>0</v>
      </c>
      <c r="R394" s="180">
        <f t="shared" si="128"/>
        <v>0</v>
      </c>
      <c r="S394" s="180">
        <f t="shared" si="128"/>
        <v>0</v>
      </c>
      <c r="U394" s="56">
        <f t="shared" si="129"/>
        <v>0</v>
      </c>
      <c r="W394" s="184">
        <f t="shared" si="130"/>
        <v>0.38899999999999996</v>
      </c>
      <c r="X394" s="56"/>
      <c r="Y394" s="161"/>
    </row>
    <row r="395" spans="1:25" ht="12.75">
      <c r="A395" s="198" t="s">
        <v>586</v>
      </c>
      <c r="B395" s="199"/>
      <c r="C395" s="18"/>
      <c r="D395" s="18" t="s">
        <v>135</v>
      </c>
      <c r="E395" s="139">
        <f t="shared" si="124"/>
        <v>0.38899999999999996</v>
      </c>
      <c r="F395" s="181"/>
      <c r="G395" s="180">
        <f t="shared" si="125"/>
        <v>0</v>
      </c>
      <c r="H395" s="180">
        <f t="shared" si="125"/>
        <v>0</v>
      </c>
      <c r="I395" s="180">
        <f t="shared" si="126"/>
        <v>0</v>
      </c>
      <c r="J395" s="180">
        <f t="shared" si="127"/>
        <v>0</v>
      </c>
      <c r="K395" s="180">
        <f t="shared" si="128"/>
        <v>0</v>
      </c>
      <c r="L395" s="180">
        <f t="shared" si="128"/>
        <v>0</v>
      </c>
      <c r="M395" s="180">
        <f t="shared" si="128"/>
        <v>0</v>
      </c>
      <c r="N395" s="180">
        <f t="shared" si="128"/>
        <v>0</v>
      </c>
      <c r="O395" s="180">
        <f t="shared" si="128"/>
        <v>0</v>
      </c>
      <c r="P395" s="180">
        <f t="shared" si="128"/>
        <v>0</v>
      </c>
      <c r="Q395" s="180">
        <f t="shared" si="128"/>
        <v>0</v>
      </c>
      <c r="R395" s="180">
        <f t="shared" si="128"/>
        <v>0</v>
      </c>
      <c r="S395" s="180">
        <f t="shared" si="128"/>
        <v>0</v>
      </c>
      <c r="U395" s="56">
        <f t="shared" si="129"/>
        <v>0</v>
      </c>
      <c r="W395" s="184">
        <f t="shared" si="130"/>
        <v>0.38899999999999996</v>
      </c>
      <c r="X395" s="56"/>
      <c r="Y395" s="161"/>
    </row>
    <row r="396" spans="1:25" ht="12.75">
      <c r="A396" s="198" t="s">
        <v>587</v>
      </c>
      <c r="B396" s="199"/>
      <c r="C396" s="18"/>
      <c r="D396" s="18" t="s">
        <v>588</v>
      </c>
      <c r="E396" s="139">
        <f t="shared" si="124"/>
        <v>0.38899999999999996</v>
      </c>
      <c r="F396" s="181"/>
      <c r="G396" s="180">
        <f t="shared" si="125"/>
        <v>0</v>
      </c>
      <c r="H396" s="180">
        <f t="shared" si="125"/>
        <v>0</v>
      </c>
      <c r="I396" s="180">
        <f t="shared" si="126"/>
        <v>0</v>
      </c>
      <c r="J396" s="180">
        <f t="shared" si="127"/>
        <v>0</v>
      </c>
      <c r="K396" s="180">
        <f t="shared" si="128"/>
        <v>0</v>
      </c>
      <c r="L396" s="180">
        <f t="shared" si="128"/>
        <v>0</v>
      </c>
      <c r="M396" s="180">
        <f t="shared" si="128"/>
        <v>0</v>
      </c>
      <c r="N396" s="180">
        <f t="shared" si="128"/>
        <v>0</v>
      </c>
      <c r="O396" s="180">
        <f t="shared" si="128"/>
        <v>0</v>
      </c>
      <c r="P396" s="180">
        <f t="shared" si="128"/>
        <v>0</v>
      </c>
      <c r="Q396" s="180">
        <f t="shared" si="128"/>
        <v>0</v>
      </c>
      <c r="R396" s="180">
        <f t="shared" si="128"/>
        <v>0</v>
      </c>
      <c r="S396" s="180">
        <f t="shared" si="128"/>
        <v>0</v>
      </c>
      <c r="U396" s="56">
        <f t="shared" si="129"/>
        <v>0</v>
      </c>
      <c r="W396" s="184">
        <f t="shared" si="130"/>
        <v>0.38899999999999996</v>
      </c>
      <c r="X396" s="56"/>
      <c r="Y396" s="161"/>
    </row>
    <row r="397" spans="1:25" ht="12.75">
      <c r="A397" s="198" t="s">
        <v>589</v>
      </c>
      <c r="B397" s="199"/>
      <c r="C397" s="18"/>
      <c r="D397" s="18" t="s">
        <v>590</v>
      </c>
      <c r="E397" s="139">
        <f t="shared" si="124"/>
        <v>0.38899999999999996</v>
      </c>
      <c r="F397" s="181"/>
      <c r="G397" s="180">
        <f t="shared" si="125"/>
        <v>0</v>
      </c>
      <c r="H397" s="180">
        <f t="shared" si="125"/>
        <v>0</v>
      </c>
      <c r="I397" s="180">
        <f t="shared" si="126"/>
        <v>0</v>
      </c>
      <c r="J397" s="180">
        <f t="shared" si="127"/>
        <v>0</v>
      </c>
      <c r="K397" s="180">
        <f t="shared" si="128"/>
        <v>0</v>
      </c>
      <c r="L397" s="180">
        <f t="shared" si="128"/>
        <v>0</v>
      </c>
      <c r="M397" s="180">
        <f t="shared" si="128"/>
        <v>0</v>
      </c>
      <c r="N397" s="180">
        <f t="shared" si="128"/>
        <v>0</v>
      </c>
      <c r="O397" s="180">
        <f t="shared" si="128"/>
        <v>0</v>
      </c>
      <c r="P397" s="180">
        <f t="shared" si="128"/>
        <v>0</v>
      </c>
      <c r="Q397" s="180">
        <f t="shared" si="128"/>
        <v>0</v>
      </c>
      <c r="R397" s="180">
        <f t="shared" si="128"/>
        <v>0</v>
      </c>
      <c r="S397" s="180">
        <f t="shared" si="128"/>
        <v>0</v>
      </c>
      <c r="U397" s="56">
        <f t="shared" si="129"/>
        <v>0</v>
      </c>
      <c r="W397" s="184">
        <f t="shared" si="130"/>
        <v>0.38899999999999996</v>
      </c>
      <c r="X397" s="56"/>
      <c r="Y397" s="161"/>
    </row>
    <row r="398" spans="1:25" ht="12.75">
      <c r="A398" s="191" t="s">
        <v>591</v>
      </c>
      <c r="B398" s="192"/>
      <c r="C398" s="193"/>
      <c r="D398" s="193" t="s">
        <v>275</v>
      </c>
      <c r="E398" s="194">
        <f t="shared" si="124"/>
        <v>0.38899999999999996</v>
      </c>
      <c r="F398" s="195" t="s">
        <v>553</v>
      </c>
      <c r="G398" s="196">
        <f t="shared" si="125"/>
        <v>0</v>
      </c>
      <c r="H398" s="196">
        <f t="shared" si="125"/>
        <v>0</v>
      </c>
      <c r="I398" s="196">
        <f>M398-G398-H398-J398-K398-L398</f>
        <v>0</v>
      </c>
      <c r="J398" s="196">
        <f t="shared" si="127"/>
        <v>0</v>
      </c>
      <c r="K398" s="196">
        <f t="shared" si="128"/>
        <v>0</v>
      </c>
      <c r="L398" s="196">
        <f t="shared" si="128"/>
        <v>0</v>
      </c>
      <c r="M398" s="196">
        <f t="shared" si="128"/>
        <v>0</v>
      </c>
      <c r="N398" s="196">
        <f t="shared" si="128"/>
        <v>0</v>
      </c>
      <c r="O398" s="196">
        <f t="shared" si="128"/>
        <v>0</v>
      </c>
      <c r="P398" s="196">
        <f t="shared" si="128"/>
        <v>0</v>
      </c>
      <c r="Q398" s="196">
        <f t="shared" si="128"/>
        <v>0</v>
      </c>
      <c r="R398" s="196">
        <f t="shared" si="128"/>
        <v>0</v>
      </c>
      <c r="S398" s="196">
        <f t="shared" si="128"/>
        <v>0</v>
      </c>
      <c r="U398" s="56">
        <f t="shared" si="129"/>
        <v>0</v>
      </c>
      <c r="W398" s="197">
        <f t="shared" si="130"/>
        <v>0.38899999999999996</v>
      </c>
      <c r="X398" s="56"/>
      <c r="Y398" s="161"/>
    </row>
    <row r="399" spans="1:25" ht="12.75">
      <c r="A399" s="191" t="s">
        <v>592</v>
      </c>
      <c r="B399" s="192"/>
      <c r="C399" s="193"/>
      <c r="D399" s="193" t="s">
        <v>257</v>
      </c>
      <c r="E399" s="194">
        <f t="shared" si="124"/>
        <v>0.38899999999999996</v>
      </c>
      <c r="F399" s="195" t="s">
        <v>553</v>
      </c>
      <c r="G399" s="196">
        <f t="shared" si="125"/>
        <v>308887.00599999999</v>
      </c>
      <c r="H399" s="196">
        <f t="shared" si="125"/>
        <v>0</v>
      </c>
      <c r="I399" s="196">
        <f>M399-G399-H399-J399-K399-L399</f>
        <v>0</v>
      </c>
      <c r="J399" s="196">
        <f t="shared" si="127"/>
        <v>0</v>
      </c>
      <c r="K399" s="196">
        <f t="shared" si="128"/>
        <v>0</v>
      </c>
      <c r="L399" s="196">
        <f t="shared" si="128"/>
        <v>0</v>
      </c>
      <c r="M399" s="196">
        <f t="shared" si="128"/>
        <v>308887.00599999999</v>
      </c>
      <c r="N399" s="196">
        <f t="shared" si="128"/>
        <v>0</v>
      </c>
      <c r="O399" s="196">
        <f t="shared" si="128"/>
        <v>116932.64144999997</v>
      </c>
      <c r="P399" s="196">
        <f t="shared" si="128"/>
        <v>0</v>
      </c>
      <c r="Q399" s="196">
        <f t="shared" si="128"/>
        <v>0</v>
      </c>
      <c r="R399" s="196">
        <f t="shared" si="128"/>
        <v>0</v>
      </c>
      <c r="S399" s="196">
        <f t="shared" si="128"/>
        <v>425819.64745000005</v>
      </c>
      <c r="U399" s="56">
        <f t="shared" si="129"/>
        <v>794054.00000000012</v>
      </c>
      <c r="W399" s="197">
        <f t="shared" si="130"/>
        <v>0.38899999999999996</v>
      </c>
      <c r="X399" s="56"/>
      <c r="Y399" s="161"/>
    </row>
    <row r="400" spans="1:25" ht="12.75">
      <c r="A400" s="191" t="s">
        <v>593</v>
      </c>
      <c r="B400" s="192"/>
      <c r="C400" s="193"/>
      <c r="D400" s="193" t="s">
        <v>594</v>
      </c>
      <c r="E400" s="194"/>
      <c r="F400" s="195" t="s">
        <v>553</v>
      </c>
      <c r="G400" s="196">
        <f>SUM(G401:G408)</f>
        <v>-4123205.2399999993</v>
      </c>
      <c r="H400" s="196">
        <f>SUM(H401:H408)</f>
        <v>2684.4889999999996</v>
      </c>
      <c r="I400" s="196">
        <f t="shared" ref="I400:S400" si="131">SUM(I401:I408)</f>
        <v>1.8189894035458565E-12</v>
      </c>
      <c r="J400" s="196">
        <f>SUM(J401:J408)</f>
        <v>0</v>
      </c>
      <c r="K400" s="196">
        <f t="shared" si="131"/>
        <v>0</v>
      </c>
      <c r="L400" s="196">
        <f t="shared" si="131"/>
        <v>0</v>
      </c>
      <c r="M400" s="196">
        <f>SUM(M401:M408)</f>
        <v>-4120520.7509999992</v>
      </c>
      <c r="N400" s="196">
        <f t="shared" si="131"/>
        <v>-24215.261669999963</v>
      </c>
      <c r="O400" s="196">
        <f t="shared" si="131"/>
        <v>0</v>
      </c>
      <c r="P400" s="196">
        <f t="shared" si="131"/>
        <v>0</v>
      </c>
      <c r="Q400" s="196">
        <f t="shared" si="131"/>
        <v>0</v>
      </c>
      <c r="R400" s="196">
        <f t="shared" si="131"/>
        <v>0</v>
      </c>
      <c r="S400" s="196">
        <f t="shared" si="131"/>
        <v>-4144736.0126699996</v>
      </c>
      <c r="U400" s="56"/>
      <c r="W400" s="197"/>
      <c r="X400" s="56"/>
      <c r="Y400" s="161"/>
    </row>
    <row r="401" spans="1:25" ht="12.75">
      <c r="A401" s="198" t="s">
        <v>595</v>
      </c>
      <c r="B401" s="199"/>
      <c r="C401" s="18"/>
      <c r="D401" s="18" t="s">
        <v>137</v>
      </c>
      <c r="E401" s="139">
        <f t="shared" ref="E401:E413" si="132">$E$315</f>
        <v>0.38899999999999996</v>
      </c>
      <c r="F401" s="181"/>
      <c r="G401" s="180">
        <f t="shared" ref="G401:H413" si="133">SUMIF($E$11:$E$283,$D401,G$11:G$283)*$W401</f>
        <v>-2133098.7449999996</v>
      </c>
      <c r="H401" s="180">
        <f t="shared" si="133"/>
        <v>0</v>
      </c>
      <c r="I401" s="180">
        <f t="shared" ref="I401:I413" si="134">M401-G401-H401-J401-K401-L401</f>
        <v>0</v>
      </c>
      <c r="J401" s="180">
        <f t="shared" ref="J401:J413" si="135">SUMIF($E$11:$E$283,$D401,J$11:J$283)*$W401</f>
        <v>0</v>
      </c>
      <c r="K401" s="180">
        <f t="shared" ref="K401:S413" si="136">SUMIF($E$11:$E$283,$D401,K$11:K$283)*$E401</f>
        <v>0</v>
      </c>
      <c r="L401" s="180">
        <f t="shared" si="136"/>
        <v>0</v>
      </c>
      <c r="M401" s="180">
        <f t="shared" si="136"/>
        <v>-2133098.7449999996</v>
      </c>
      <c r="N401" s="180">
        <f t="shared" si="136"/>
        <v>-76450.788509999955</v>
      </c>
      <c r="O401" s="180">
        <f t="shared" si="136"/>
        <v>0</v>
      </c>
      <c r="P401" s="180">
        <f t="shared" si="136"/>
        <v>0</v>
      </c>
      <c r="Q401" s="180">
        <f t="shared" si="136"/>
        <v>0</v>
      </c>
      <c r="R401" s="180">
        <f t="shared" si="136"/>
        <v>0</v>
      </c>
      <c r="S401" s="180">
        <f t="shared" si="136"/>
        <v>-2209549.53351</v>
      </c>
      <c r="U401" s="56">
        <f t="shared" ref="U401:U413" si="137">M401/E401</f>
        <v>-5483544.3316195374</v>
      </c>
      <c r="W401" s="184">
        <f t="shared" ref="W401:W413" si="138">$W$315</f>
        <v>0.38899999999999996</v>
      </c>
      <c r="X401" s="56"/>
      <c r="Y401" s="161"/>
    </row>
    <row r="402" spans="1:25" ht="12.75">
      <c r="A402" s="200" t="s">
        <v>596</v>
      </c>
      <c r="B402" s="199"/>
      <c r="C402" s="201"/>
      <c r="D402" s="201" t="s">
        <v>597</v>
      </c>
      <c r="E402" s="139">
        <f t="shared" si="132"/>
        <v>0.38899999999999996</v>
      </c>
      <c r="F402" s="181"/>
      <c r="G402" s="180">
        <f t="shared" si="133"/>
        <v>0</v>
      </c>
      <c r="H402" s="180">
        <f t="shared" si="133"/>
        <v>0</v>
      </c>
      <c r="I402" s="180">
        <f t="shared" si="134"/>
        <v>0</v>
      </c>
      <c r="J402" s="180">
        <f t="shared" si="135"/>
        <v>0</v>
      </c>
      <c r="K402" s="180">
        <f t="shared" si="136"/>
        <v>0</v>
      </c>
      <c r="L402" s="180">
        <f t="shared" si="136"/>
        <v>0</v>
      </c>
      <c r="M402" s="180">
        <f t="shared" si="136"/>
        <v>0</v>
      </c>
      <c r="N402" s="180">
        <f t="shared" si="136"/>
        <v>0</v>
      </c>
      <c r="O402" s="180">
        <f t="shared" si="136"/>
        <v>0</v>
      </c>
      <c r="P402" s="180">
        <f t="shared" si="136"/>
        <v>0</v>
      </c>
      <c r="Q402" s="180">
        <f t="shared" si="136"/>
        <v>0</v>
      </c>
      <c r="R402" s="180">
        <f t="shared" si="136"/>
        <v>0</v>
      </c>
      <c r="S402" s="180">
        <f t="shared" si="136"/>
        <v>0</v>
      </c>
      <c r="U402" s="56">
        <f t="shared" si="137"/>
        <v>0</v>
      </c>
      <c r="W402" s="184">
        <f t="shared" si="138"/>
        <v>0.38899999999999996</v>
      </c>
      <c r="X402" s="56"/>
      <c r="Y402" s="161"/>
    </row>
    <row r="403" spans="1:25" ht="12.75">
      <c r="A403" s="198" t="s">
        <v>598</v>
      </c>
      <c r="B403" s="199"/>
      <c r="C403" s="18"/>
      <c r="D403" s="18" t="s">
        <v>599</v>
      </c>
      <c r="E403" s="139">
        <f t="shared" si="132"/>
        <v>0.38899999999999996</v>
      </c>
      <c r="F403" s="181"/>
      <c r="G403" s="180">
        <f t="shared" si="133"/>
        <v>0</v>
      </c>
      <c r="H403" s="180">
        <f t="shared" si="133"/>
        <v>0</v>
      </c>
      <c r="I403" s="180">
        <f t="shared" si="134"/>
        <v>0</v>
      </c>
      <c r="J403" s="180">
        <f t="shared" si="135"/>
        <v>0</v>
      </c>
      <c r="K403" s="180">
        <f t="shared" si="136"/>
        <v>0</v>
      </c>
      <c r="L403" s="180">
        <f t="shared" si="136"/>
        <v>0</v>
      </c>
      <c r="M403" s="180">
        <f t="shared" si="136"/>
        <v>0</v>
      </c>
      <c r="N403" s="180">
        <f t="shared" si="136"/>
        <v>0</v>
      </c>
      <c r="O403" s="180">
        <f t="shared" si="136"/>
        <v>0</v>
      </c>
      <c r="P403" s="180">
        <f t="shared" si="136"/>
        <v>0</v>
      </c>
      <c r="Q403" s="180">
        <f t="shared" si="136"/>
        <v>0</v>
      </c>
      <c r="R403" s="180">
        <f t="shared" si="136"/>
        <v>0</v>
      </c>
      <c r="S403" s="180">
        <f t="shared" si="136"/>
        <v>0</v>
      </c>
      <c r="U403" s="56">
        <f t="shared" si="137"/>
        <v>0</v>
      </c>
      <c r="W403" s="184">
        <f t="shared" si="138"/>
        <v>0.38899999999999996</v>
      </c>
      <c r="X403" s="56"/>
      <c r="Y403" s="161"/>
    </row>
    <row r="404" spans="1:25" ht="12.75">
      <c r="A404" s="198" t="s">
        <v>600</v>
      </c>
      <c r="B404" s="199"/>
      <c r="C404" s="18"/>
      <c r="D404" s="18" t="s">
        <v>69</v>
      </c>
      <c r="E404" s="139">
        <f t="shared" si="132"/>
        <v>0.38899999999999996</v>
      </c>
      <c r="F404" s="181"/>
      <c r="G404" s="180">
        <f t="shared" si="133"/>
        <v>0</v>
      </c>
      <c r="H404" s="180">
        <f t="shared" si="133"/>
        <v>0</v>
      </c>
      <c r="I404" s="180">
        <f t="shared" si="134"/>
        <v>0</v>
      </c>
      <c r="J404" s="180">
        <f t="shared" si="135"/>
        <v>0</v>
      </c>
      <c r="K404" s="180">
        <f t="shared" si="136"/>
        <v>0</v>
      </c>
      <c r="L404" s="180">
        <f t="shared" si="136"/>
        <v>0</v>
      </c>
      <c r="M404" s="180">
        <f t="shared" si="136"/>
        <v>0</v>
      </c>
      <c r="N404" s="180">
        <f t="shared" si="136"/>
        <v>0</v>
      </c>
      <c r="O404" s="180">
        <f t="shared" si="136"/>
        <v>0</v>
      </c>
      <c r="P404" s="180">
        <f t="shared" si="136"/>
        <v>0</v>
      </c>
      <c r="Q404" s="180">
        <f t="shared" si="136"/>
        <v>0</v>
      </c>
      <c r="R404" s="180">
        <f t="shared" si="136"/>
        <v>0</v>
      </c>
      <c r="S404" s="180">
        <f t="shared" si="136"/>
        <v>0</v>
      </c>
      <c r="U404" s="56">
        <f t="shared" si="137"/>
        <v>0</v>
      </c>
      <c r="W404" s="184">
        <f t="shared" si="138"/>
        <v>0.38899999999999996</v>
      </c>
      <c r="X404" s="56"/>
      <c r="Y404" s="161"/>
    </row>
    <row r="405" spans="1:25" ht="12.75">
      <c r="A405" s="198" t="s">
        <v>601</v>
      </c>
      <c r="B405" s="199"/>
      <c r="C405" s="18"/>
      <c r="D405" s="18" t="s">
        <v>602</v>
      </c>
      <c r="E405" s="139">
        <f t="shared" si="132"/>
        <v>0.38899999999999996</v>
      </c>
      <c r="F405" s="181"/>
      <c r="G405" s="180">
        <f t="shared" si="133"/>
        <v>0</v>
      </c>
      <c r="H405" s="180">
        <f t="shared" si="133"/>
        <v>0</v>
      </c>
      <c r="I405" s="180">
        <f t="shared" si="134"/>
        <v>0</v>
      </c>
      <c r="J405" s="180">
        <f t="shared" si="135"/>
        <v>0</v>
      </c>
      <c r="K405" s="180">
        <f t="shared" si="136"/>
        <v>0</v>
      </c>
      <c r="L405" s="180">
        <f t="shared" si="136"/>
        <v>0</v>
      </c>
      <c r="M405" s="180">
        <f t="shared" si="136"/>
        <v>0</v>
      </c>
      <c r="N405" s="180">
        <f t="shared" si="136"/>
        <v>0</v>
      </c>
      <c r="O405" s="180">
        <f t="shared" si="136"/>
        <v>0</v>
      </c>
      <c r="P405" s="180">
        <f t="shared" si="136"/>
        <v>0</v>
      </c>
      <c r="Q405" s="180">
        <f t="shared" si="136"/>
        <v>0</v>
      </c>
      <c r="R405" s="180">
        <f t="shared" si="136"/>
        <v>0</v>
      </c>
      <c r="S405" s="180">
        <f t="shared" si="136"/>
        <v>0</v>
      </c>
      <c r="U405" s="56">
        <f t="shared" si="137"/>
        <v>0</v>
      </c>
      <c r="W405" s="184">
        <f t="shared" si="138"/>
        <v>0.38899999999999996</v>
      </c>
      <c r="X405" s="56"/>
      <c r="Y405" s="161"/>
    </row>
    <row r="406" spans="1:25" ht="12.75">
      <c r="A406" s="198" t="s">
        <v>603</v>
      </c>
      <c r="B406" s="199"/>
      <c r="C406" s="18"/>
      <c r="D406" s="18" t="s">
        <v>604</v>
      </c>
      <c r="E406" s="139">
        <f t="shared" si="132"/>
        <v>0.38899999999999996</v>
      </c>
      <c r="F406" s="181"/>
      <c r="G406" s="180">
        <f t="shared" si="133"/>
        <v>0</v>
      </c>
      <c r="H406" s="180">
        <f t="shared" si="133"/>
        <v>0</v>
      </c>
      <c r="I406" s="180">
        <f t="shared" si="134"/>
        <v>0</v>
      </c>
      <c r="J406" s="180">
        <f t="shared" si="135"/>
        <v>0</v>
      </c>
      <c r="K406" s="180">
        <f t="shared" si="136"/>
        <v>0</v>
      </c>
      <c r="L406" s="180">
        <f t="shared" si="136"/>
        <v>0</v>
      </c>
      <c r="M406" s="180">
        <f t="shared" si="136"/>
        <v>0</v>
      </c>
      <c r="N406" s="180">
        <f t="shared" si="136"/>
        <v>0</v>
      </c>
      <c r="O406" s="180">
        <f t="shared" si="136"/>
        <v>0</v>
      </c>
      <c r="P406" s="180">
        <f t="shared" si="136"/>
        <v>0</v>
      </c>
      <c r="Q406" s="180">
        <f t="shared" si="136"/>
        <v>0</v>
      </c>
      <c r="R406" s="180">
        <f t="shared" si="136"/>
        <v>0</v>
      </c>
      <c r="S406" s="180">
        <f t="shared" si="136"/>
        <v>0</v>
      </c>
      <c r="U406" s="56">
        <f t="shared" si="137"/>
        <v>0</v>
      </c>
      <c r="W406" s="184">
        <f t="shared" si="138"/>
        <v>0.38899999999999996</v>
      </c>
      <c r="X406" s="56"/>
      <c r="Y406" s="161"/>
    </row>
    <row r="407" spans="1:25" ht="12.75">
      <c r="A407" s="198" t="s">
        <v>605</v>
      </c>
      <c r="B407" s="199"/>
      <c r="C407" s="18"/>
      <c r="D407" s="18" t="s">
        <v>153</v>
      </c>
      <c r="E407" s="139">
        <f t="shared" si="132"/>
        <v>0.38899999999999996</v>
      </c>
      <c r="F407" s="181"/>
      <c r="G407" s="180">
        <f t="shared" si="133"/>
        <v>-2299599.5629999996</v>
      </c>
      <c r="H407" s="180">
        <f t="shared" si="133"/>
        <v>0</v>
      </c>
      <c r="I407" s="180">
        <f t="shared" si="134"/>
        <v>0</v>
      </c>
      <c r="J407" s="180">
        <f t="shared" si="135"/>
        <v>0</v>
      </c>
      <c r="K407" s="180">
        <f t="shared" si="136"/>
        <v>0</v>
      </c>
      <c r="L407" s="180">
        <f t="shared" si="136"/>
        <v>0</v>
      </c>
      <c r="M407" s="180">
        <f t="shared" si="136"/>
        <v>-2299599.5629999996</v>
      </c>
      <c r="N407" s="180">
        <f t="shared" si="136"/>
        <v>0</v>
      </c>
      <c r="O407" s="180">
        <f t="shared" si="136"/>
        <v>0</v>
      </c>
      <c r="P407" s="180">
        <f t="shared" si="136"/>
        <v>0</v>
      </c>
      <c r="Q407" s="180">
        <f t="shared" si="136"/>
        <v>0</v>
      </c>
      <c r="R407" s="180">
        <f t="shared" si="136"/>
        <v>0</v>
      </c>
      <c r="S407" s="180">
        <f t="shared" si="136"/>
        <v>-2299599.5629999996</v>
      </c>
      <c r="U407" s="56">
        <f t="shared" si="137"/>
        <v>-5911567</v>
      </c>
      <c r="W407" s="184">
        <f t="shared" si="138"/>
        <v>0.38899999999999996</v>
      </c>
      <c r="X407" s="56"/>
      <c r="Y407" s="161"/>
    </row>
    <row r="408" spans="1:25" ht="12.75">
      <c r="A408" s="198" t="s">
        <v>606</v>
      </c>
      <c r="B408" s="199"/>
      <c r="C408" s="18"/>
      <c r="D408" s="18" t="s">
        <v>155</v>
      </c>
      <c r="E408" s="139">
        <f t="shared" si="132"/>
        <v>0.38899999999999996</v>
      </c>
      <c r="F408" s="181"/>
      <c r="G408" s="180">
        <f t="shared" si="133"/>
        <v>309493.06799999997</v>
      </c>
      <c r="H408" s="180">
        <f t="shared" si="133"/>
        <v>2684.4889999999996</v>
      </c>
      <c r="I408" s="180">
        <f t="shared" si="134"/>
        <v>1.8189894035458565E-12</v>
      </c>
      <c r="J408" s="180">
        <f t="shared" si="135"/>
        <v>0</v>
      </c>
      <c r="K408" s="180">
        <f t="shared" si="136"/>
        <v>0</v>
      </c>
      <c r="L408" s="180">
        <f t="shared" si="136"/>
        <v>0</v>
      </c>
      <c r="M408" s="180">
        <f t="shared" si="136"/>
        <v>312177.55699999997</v>
      </c>
      <c r="N408" s="180">
        <f t="shared" si="136"/>
        <v>52235.526839999991</v>
      </c>
      <c r="O408" s="180">
        <f t="shared" si="136"/>
        <v>0</v>
      </c>
      <c r="P408" s="180">
        <f t="shared" si="136"/>
        <v>0</v>
      </c>
      <c r="Q408" s="180">
        <f t="shared" si="136"/>
        <v>0</v>
      </c>
      <c r="R408" s="180">
        <f t="shared" si="136"/>
        <v>0</v>
      </c>
      <c r="S408" s="180">
        <f t="shared" si="136"/>
        <v>364413.08383999998</v>
      </c>
      <c r="U408" s="56">
        <f t="shared" si="137"/>
        <v>802513</v>
      </c>
      <c r="W408" s="184">
        <f t="shared" si="138"/>
        <v>0.38899999999999996</v>
      </c>
      <c r="X408" s="56"/>
      <c r="Y408" s="161"/>
    </row>
    <row r="409" spans="1:25" ht="12.75">
      <c r="A409" s="191" t="s">
        <v>607</v>
      </c>
      <c r="B409" s="192"/>
      <c r="C409" s="193"/>
      <c r="D409" s="193" t="s">
        <v>186</v>
      </c>
      <c r="E409" s="194">
        <f t="shared" si="132"/>
        <v>0.38899999999999996</v>
      </c>
      <c r="F409" s="195" t="s">
        <v>553</v>
      </c>
      <c r="G409" s="196">
        <f t="shared" si="133"/>
        <v>-3.8900000036228441E-2</v>
      </c>
      <c r="H409" s="196">
        <f t="shared" si="133"/>
        <v>0</v>
      </c>
      <c r="I409" s="196">
        <f t="shared" si="134"/>
        <v>0</v>
      </c>
      <c r="J409" s="196">
        <f t="shared" si="135"/>
        <v>0</v>
      </c>
      <c r="K409" s="196">
        <f t="shared" si="136"/>
        <v>0</v>
      </c>
      <c r="L409" s="196">
        <f t="shared" si="136"/>
        <v>0</v>
      </c>
      <c r="M409" s="196">
        <f t="shared" si="136"/>
        <v>-3.8900000036228441E-2</v>
      </c>
      <c r="N409" s="196">
        <f t="shared" si="136"/>
        <v>0</v>
      </c>
      <c r="O409" s="196">
        <f t="shared" si="136"/>
        <v>0</v>
      </c>
      <c r="P409" s="196">
        <f t="shared" si="136"/>
        <v>0</v>
      </c>
      <c r="Q409" s="196">
        <f t="shared" si="136"/>
        <v>0</v>
      </c>
      <c r="R409" s="196">
        <f t="shared" si="136"/>
        <v>0</v>
      </c>
      <c r="S409" s="196">
        <f t="shared" si="136"/>
        <v>-3.8900000036228441E-2</v>
      </c>
      <c r="U409" s="56">
        <f t="shared" si="137"/>
        <v>-0.10000000009313224</v>
      </c>
      <c r="W409" s="197">
        <f t="shared" si="138"/>
        <v>0.38899999999999996</v>
      </c>
      <c r="X409" s="56"/>
      <c r="Y409" s="161"/>
    </row>
    <row r="410" spans="1:25" ht="12.75">
      <c r="A410" s="191" t="s">
        <v>608</v>
      </c>
      <c r="B410" s="192"/>
      <c r="C410" s="193"/>
      <c r="D410" s="193" t="s">
        <v>148</v>
      </c>
      <c r="E410" s="194">
        <f t="shared" si="132"/>
        <v>0.38899999999999996</v>
      </c>
      <c r="F410" s="195" t="s">
        <v>553</v>
      </c>
      <c r="G410" s="196">
        <f t="shared" si="133"/>
        <v>253055.94448838296</v>
      </c>
      <c r="H410" s="196">
        <f t="shared" si="133"/>
        <v>0</v>
      </c>
      <c r="I410" s="196">
        <f t="shared" si="134"/>
        <v>0</v>
      </c>
      <c r="J410" s="196">
        <f t="shared" si="135"/>
        <v>0</v>
      </c>
      <c r="K410" s="196">
        <f t="shared" si="136"/>
        <v>0</v>
      </c>
      <c r="L410" s="196">
        <f t="shared" si="136"/>
        <v>0</v>
      </c>
      <c r="M410" s="196">
        <f t="shared" si="136"/>
        <v>253055.94448838296</v>
      </c>
      <c r="N410" s="196">
        <f t="shared" si="136"/>
        <v>0</v>
      </c>
      <c r="O410" s="196">
        <f t="shared" si="136"/>
        <v>0</v>
      </c>
      <c r="P410" s="196">
        <f t="shared" si="136"/>
        <v>0</v>
      </c>
      <c r="Q410" s="196">
        <f t="shared" si="136"/>
        <v>0</v>
      </c>
      <c r="R410" s="196">
        <f t="shared" si="136"/>
        <v>0</v>
      </c>
      <c r="S410" s="196">
        <f t="shared" si="136"/>
        <v>253055.94448838296</v>
      </c>
      <c r="U410" s="56">
        <f t="shared" si="137"/>
        <v>650529.42027861951</v>
      </c>
      <c r="W410" s="197">
        <f t="shared" si="138"/>
        <v>0.38899999999999996</v>
      </c>
      <c r="X410" s="56"/>
      <c r="Y410" s="161"/>
    </row>
    <row r="411" spans="1:25" ht="12.75">
      <c r="A411" s="191" t="s">
        <v>609</v>
      </c>
      <c r="B411" s="192"/>
      <c r="C411" s="193"/>
      <c r="D411" s="193" t="s">
        <v>169</v>
      </c>
      <c r="E411" s="194">
        <f t="shared" si="132"/>
        <v>0.38899999999999996</v>
      </c>
      <c r="F411" s="195" t="s">
        <v>553</v>
      </c>
      <c r="G411" s="196">
        <f t="shared" si="133"/>
        <v>0</v>
      </c>
      <c r="H411" s="196">
        <f t="shared" si="133"/>
        <v>0</v>
      </c>
      <c r="I411" s="196">
        <f t="shared" si="134"/>
        <v>0</v>
      </c>
      <c r="J411" s="196">
        <f t="shared" si="135"/>
        <v>0</v>
      </c>
      <c r="K411" s="196">
        <f t="shared" si="136"/>
        <v>0</v>
      </c>
      <c r="L411" s="196">
        <f t="shared" si="136"/>
        <v>0</v>
      </c>
      <c r="M411" s="196">
        <f t="shared" si="136"/>
        <v>0</v>
      </c>
      <c r="N411" s="196">
        <f t="shared" si="136"/>
        <v>0</v>
      </c>
      <c r="O411" s="196">
        <f t="shared" si="136"/>
        <v>0</v>
      </c>
      <c r="P411" s="196">
        <f t="shared" si="136"/>
        <v>0</v>
      </c>
      <c r="Q411" s="196">
        <f t="shared" si="136"/>
        <v>0</v>
      </c>
      <c r="R411" s="196">
        <f t="shared" si="136"/>
        <v>0</v>
      </c>
      <c r="S411" s="196">
        <f t="shared" si="136"/>
        <v>0</v>
      </c>
      <c r="U411" s="56">
        <f t="shared" si="137"/>
        <v>0</v>
      </c>
      <c r="W411" s="197">
        <f t="shared" si="138"/>
        <v>0.38899999999999996</v>
      </c>
      <c r="X411" s="56"/>
      <c r="Y411" s="161"/>
    </row>
    <row r="412" spans="1:25" ht="12.75">
      <c r="A412" s="204" t="s">
        <v>610</v>
      </c>
      <c r="B412" s="192"/>
      <c r="C412" s="193"/>
      <c r="D412" s="193" t="s">
        <v>611</v>
      </c>
      <c r="E412" s="194">
        <f t="shared" si="132"/>
        <v>0.38899999999999996</v>
      </c>
      <c r="F412" s="195" t="s">
        <v>553</v>
      </c>
      <c r="G412" s="196">
        <f t="shared" si="133"/>
        <v>0</v>
      </c>
      <c r="H412" s="196">
        <f t="shared" si="133"/>
        <v>0</v>
      </c>
      <c r="I412" s="196">
        <f t="shared" si="134"/>
        <v>0</v>
      </c>
      <c r="J412" s="196">
        <f t="shared" si="135"/>
        <v>0</v>
      </c>
      <c r="K412" s="196">
        <f t="shared" si="136"/>
        <v>0</v>
      </c>
      <c r="L412" s="196">
        <f t="shared" si="136"/>
        <v>0</v>
      </c>
      <c r="M412" s="196">
        <f t="shared" si="136"/>
        <v>0</v>
      </c>
      <c r="N412" s="196">
        <f t="shared" si="136"/>
        <v>0</v>
      </c>
      <c r="O412" s="196">
        <f t="shared" si="136"/>
        <v>0</v>
      </c>
      <c r="P412" s="196">
        <f t="shared" si="136"/>
        <v>0</v>
      </c>
      <c r="Q412" s="196">
        <f t="shared" si="136"/>
        <v>0</v>
      </c>
      <c r="R412" s="196">
        <f t="shared" si="136"/>
        <v>0</v>
      </c>
      <c r="S412" s="196">
        <f t="shared" si="136"/>
        <v>0</v>
      </c>
      <c r="U412" s="56">
        <f t="shared" si="137"/>
        <v>0</v>
      </c>
      <c r="W412" s="197">
        <f t="shared" si="138"/>
        <v>0.38899999999999996</v>
      </c>
      <c r="X412" s="56"/>
      <c r="Y412" s="161"/>
    </row>
    <row r="413" spans="1:25" s="224" customFormat="1" ht="12.75">
      <c r="A413" s="217" t="s">
        <v>612</v>
      </c>
      <c r="B413" s="218"/>
      <c r="C413" s="219"/>
      <c r="D413" s="219" t="s">
        <v>95</v>
      </c>
      <c r="E413" s="220">
        <f t="shared" si="132"/>
        <v>0.38899999999999996</v>
      </c>
      <c r="F413" s="221" t="s">
        <v>553</v>
      </c>
      <c r="G413" s="222">
        <f t="shared" si="133"/>
        <v>5.1282612354261797E-3</v>
      </c>
      <c r="H413" s="222">
        <f t="shared" si="133"/>
        <v>0</v>
      </c>
      <c r="I413" s="222">
        <f t="shared" si="134"/>
        <v>0</v>
      </c>
      <c r="J413" s="223">
        <f t="shared" si="135"/>
        <v>0</v>
      </c>
      <c r="K413" s="222">
        <f t="shared" si="136"/>
        <v>0</v>
      </c>
      <c r="L413" s="222">
        <f t="shared" si="136"/>
        <v>0</v>
      </c>
      <c r="M413" s="222">
        <f t="shared" si="136"/>
        <v>5.1282612354261797E-3</v>
      </c>
      <c r="N413" s="222">
        <f t="shared" si="136"/>
        <v>0</v>
      </c>
      <c r="O413" s="222">
        <f t="shared" si="136"/>
        <v>0</v>
      </c>
      <c r="P413" s="222">
        <f t="shared" si="136"/>
        <v>0</v>
      </c>
      <c r="Q413" s="222">
        <f t="shared" si="136"/>
        <v>0</v>
      </c>
      <c r="R413" s="222">
        <f t="shared" si="136"/>
        <v>0</v>
      </c>
      <c r="S413" s="222">
        <f t="shared" si="136"/>
        <v>5.1282612354261797E-3</v>
      </c>
      <c r="U413" s="225">
        <f t="shared" si="137"/>
        <v>1.3183190836571157E-2</v>
      </c>
      <c r="W413" s="226">
        <f t="shared" si="138"/>
        <v>0.38899999999999996</v>
      </c>
      <c r="X413" s="225"/>
      <c r="Y413" s="227"/>
    </row>
    <row r="414" spans="1:25" ht="12.75">
      <c r="A414" s="206" t="s">
        <v>613</v>
      </c>
      <c r="B414" s="207"/>
      <c r="C414" s="208"/>
      <c r="D414" s="211"/>
      <c r="E414" s="209"/>
      <c r="F414" s="210" t="s">
        <v>553</v>
      </c>
      <c r="G414" s="211">
        <f>SUMIF($F$371:$F$413,$F414,G$371:G$413)</f>
        <v>-83122122.165667698</v>
      </c>
      <c r="H414" s="211">
        <f t="shared" ref="H414:S414" si="139">SUMIF($F$371:$F$413,$F414,H$371:H$413)</f>
        <v>2754509.9983789865</v>
      </c>
      <c r="I414" s="211">
        <f t="shared" si="139"/>
        <v>2.7073383535025641E-9</v>
      </c>
      <c r="J414" s="211">
        <f t="shared" si="139"/>
        <v>318316.36599999992</v>
      </c>
      <c r="K414" s="211">
        <f t="shared" si="139"/>
        <v>-748501.35199999996</v>
      </c>
      <c r="L414" s="211">
        <f t="shared" si="139"/>
        <v>0</v>
      </c>
      <c r="M414" s="211">
        <f t="shared" si="139"/>
        <v>-80797797.153288737</v>
      </c>
      <c r="N414" s="211">
        <f t="shared" si="139"/>
        <v>-2250060.5330304219</v>
      </c>
      <c r="O414" s="211">
        <f t="shared" si="139"/>
        <v>116932.64144999997</v>
      </c>
      <c r="P414" s="211">
        <f t="shared" si="139"/>
        <v>0</v>
      </c>
      <c r="Q414" s="211">
        <f t="shared" si="139"/>
        <v>0</v>
      </c>
      <c r="R414" s="211">
        <f t="shared" si="139"/>
        <v>669175.6939999999</v>
      </c>
      <c r="S414" s="211">
        <f t="shared" si="139"/>
        <v>-82261749.350869134</v>
      </c>
      <c r="U414" s="56"/>
      <c r="W414" s="212"/>
      <c r="X414" s="56"/>
      <c r="Y414" s="161"/>
    </row>
    <row r="415" spans="1:25" thickBot="1">
      <c r="A415" s="167"/>
      <c r="B415" s="228"/>
      <c r="C415" s="168"/>
      <c r="D415" s="229"/>
      <c r="E415" s="230"/>
      <c r="F415" s="229"/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U415" s="56"/>
      <c r="W415" s="231"/>
      <c r="X415" s="56"/>
      <c r="Y415" s="161"/>
    </row>
    <row r="416" spans="1:25" thickBot="1">
      <c r="A416" s="232" t="s">
        <v>614</v>
      </c>
      <c r="B416" s="233"/>
      <c r="C416" s="234"/>
      <c r="D416" s="235"/>
      <c r="E416" s="236"/>
      <c r="F416" s="235"/>
      <c r="G416" s="235">
        <f>G369+G414</f>
        <v>-58621538.764092147</v>
      </c>
      <c r="H416" s="235">
        <f t="shared" ref="H416:S416" si="140">H369+H414</f>
        <v>3467691.5512352558</v>
      </c>
      <c r="I416" s="235">
        <f t="shared" si="140"/>
        <v>3.5551729962723932E-9</v>
      </c>
      <c r="J416" s="235">
        <f>J369+J414</f>
        <v>1702303.8009999997</v>
      </c>
      <c r="K416" s="235">
        <f t="shared" si="140"/>
        <v>-699382.03399999999</v>
      </c>
      <c r="L416" s="235">
        <f t="shared" si="140"/>
        <v>0</v>
      </c>
      <c r="M416" s="235">
        <f>M369+M414</f>
        <v>-54150925.445856914</v>
      </c>
      <c r="N416" s="235">
        <f t="shared" si="140"/>
        <v>-3012144.5865225052</v>
      </c>
      <c r="O416" s="235">
        <f t="shared" si="140"/>
        <v>116932.64144999997</v>
      </c>
      <c r="P416" s="235">
        <f t="shared" si="140"/>
        <v>-32986.048560000003</v>
      </c>
      <c r="Q416" s="235">
        <f t="shared" si="140"/>
        <v>0</v>
      </c>
      <c r="R416" s="235">
        <f t="shared" si="140"/>
        <v>705300.9439999999</v>
      </c>
      <c r="S416" s="235">
        <f t="shared" si="140"/>
        <v>-56373822.495489389</v>
      </c>
      <c r="U416" s="56">
        <f>SUM(U312:U415)</f>
        <v>-108762364.51954861</v>
      </c>
      <c r="W416" s="237"/>
      <c r="X416" s="56"/>
      <c r="Y416" s="161"/>
    </row>
    <row r="417" spans="1:25">
      <c r="A417" s="238"/>
      <c r="B417" s="216"/>
      <c r="C417" s="238"/>
      <c r="D417" s="239" t="s">
        <v>615</v>
      </c>
      <c r="E417" s="240"/>
      <c r="F417" s="241"/>
      <c r="G417" s="58">
        <f>G283</f>
        <v>-58621538.764092132</v>
      </c>
      <c r="H417" s="58">
        <f t="shared" ref="H417:S417" si="141">H283</f>
        <v>3467691.5512352563</v>
      </c>
      <c r="I417" s="58">
        <f t="shared" si="141"/>
        <v>0</v>
      </c>
      <c r="J417" s="58">
        <f t="shared" si="141"/>
        <v>1702303.8009999997</v>
      </c>
      <c r="K417" s="58">
        <f t="shared" si="141"/>
        <v>-699382.03399999987</v>
      </c>
      <c r="L417" s="58">
        <f t="shared" si="141"/>
        <v>0</v>
      </c>
      <c r="M417" s="11">
        <f t="shared" si="141"/>
        <v>-54150925.445856884</v>
      </c>
      <c r="N417" s="58">
        <f t="shared" si="141"/>
        <v>-3012144.5865225052</v>
      </c>
      <c r="O417" s="58">
        <f t="shared" si="141"/>
        <v>116932.64144999997</v>
      </c>
      <c r="P417" s="58">
        <f t="shared" si="141"/>
        <v>-32986.048559999996</v>
      </c>
      <c r="Q417" s="58">
        <f t="shared" si="141"/>
        <v>0</v>
      </c>
      <c r="R417" s="58">
        <f t="shared" si="141"/>
        <v>705300.94400000002</v>
      </c>
      <c r="S417" s="58">
        <f t="shared" si="141"/>
        <v>-56373822.495489366</v>
      </c>
      <c r="U417" s="56"/>
      <c r="X417" s="56"/>
      <c r="Y417" s="161"/>
    </row>
    <row r="418" spans="1:25">
      <c r="A418" s="238"/>
      <c r="B418" s="216"/>
      <c r="C418" s="238"/>
      <c r="D418" s="239" t="s">
        <v>616</v>
      </c>
      <c r="E418" s="240"/>
      <c r="F418" s="242"/>
      <c r="G418" s="11">
        <f>G417-G416</f>
        <v>0</v>
      </c>
      <c r="H418" s="11">
        <f t="shared" ref="H418:S418" si="142">H417-H416</f>
        <v>0</v>
      </c>
      <c r="I418" s="11">
        <f t="shared" si="142"/>
        <v>-3.5551729962723932E-9</v>
      </c>
      <c r="J418" s="11">
        <f t="shared" si="142"/>
        <v>0</v>
      </c>
      <c r="K418" s="11">
        <f t="shared" si="142"/>
        <v>0</v>
      </c>
      <c r="L418" s="11">
        <f t="shared" si="142"/>
        <v>0</v>
      </c>
      <c r="M418" s="11">
        <f t="shared" si="142"/>
        <v>0</v>
      </c>
      <c r="N418" s="11">
        <f t="shared" si="142"/>
        <v>0</v>
      </c>
      <c r="O418" s="11">
        <f t="shared" si="142"/>
        <v>0</v>
      </c>
      <c r="P418" s="11">
        <f t="shared" si="142"/>
        <v>0</v>
      </c>
      <c r="Q418" s="11">
        <f t="shared" si="142"/>
        <v>0</v>
      </c>
      <c r="R418" s="11">
        <f t="shared" si="142"/>
        <v>0</v>
      </c>
      <c r="S418" s="11">
        <f t="shared" si="142"/>
        <v>0</v>
      </c>
      <c r="T418" s="11"/>
      <c r="U418" s="56"/>
      <c r="X418" s="56"/>
      <c r="Y418" s="161"/>
    </row>
    <row r="419" spans="1:25">
      <c r="B419" s="238"/>
      <c r="C419" s="216"/>
      <c r="D419" s="238"/>
      <c r="E419" s="242"/>
      <c r="F419" s="240"/>
      <c r="G419" s="242"/>
      <c r="H419" s="160"/>
      <c r="I419" s="11"/>
      <c r="N419" s="214"/>
      <c r="O419" s="214"/>
      <c r="P419" s="214"/>
      <c r="R419" s="88"/>
      <c r="W419" s="58"/>
      <c r="X419" s="56"/>
      <c r="Y419" s="161"/>
    </row>
    <row r="420" spans="1:25">
      <c r="B420" s="238"/>
      <c r="C420" s="216"/>
      <c r="D420" s="238"/>
      <c r="E420" s="242"/>
      <c r="F420" s="240"/>
      <c r="G420" s="242"/>
      <c r="H420" s="160"/>
      <c r="N420" s="214"/>
      <c r="O420" s="214"/>
      <c r="P420" s="214"/>
      <c r="R420" s="88"/>
      <c r="W420" s="58"/>
      <c r="X420" s="56"/>
      <c r="Y420" s="161"/>
    </row>
    <row r="421" spans="1:25">
      <c r="B421" s="238"/>
      <c r="C421" s="216"/>
      <c r="D421" s="238"/>
      <c r="E421" s="242"/>
      <c r="F421" s="240"/>
      <c r="G421" s="242"/>
      <c r="H421" s="160"/>
      <c r="M421" s="94">
        <f>M418/0.35</f>
        <v>0</v>
      </c>
      <c r="N421" s="214"/>
      <c r="O421" s="214"/>
      <c r="P421" s="214"/>
      <c r="R421" s="88"/>
      <c r="W421" s="58"/>
      <c r="X421" s="56"/>
      <c r="Y421" s="161"/>
    </row>
    <row r="422" spans="1:25">
      <c r="B422" s="238"/>
      <c r="C422" s="216"/>
      <c r="D422" s="238"/>
      <c r="E422" s="242"/>
      <c r="F422" s="240"/>
      <c r="G422" s="242"/>
      <c r="H422" s="160"/>
      <c r="M422" s="11">
        <f>M418/(G307+G308)</f>
        <v>0</v>
      </c>
      <c r="N422" s="214"/>
      <c r="O422" s="214"/>
      <c r="P422" s="214"/>
      <c r="R422" s="88"/>
      <c r="W422" s="58"/>
      <c r="X422" s="56"/>
      <c r="Y422" s="161"/>
    </row>
    <row r="423" spans="1:25">
      <c r="B423" s="238"/>
      <c r="C423" s="216"/>
      <c r="D423" s="238"/>
      <c r="E423" s="242"/>
      <c r="F423" s="240"/>
      <c r="G423" s="242"/>
      <c r="H423" s="160"/>
      <c r="M423" s="11">
        <f>M418/G309</f>
        <v>0</v>
      </c>
      <c r="N423" s="214"/>
      <c r="O423" s="214"/>
      <c r="P423" s="214"/>
      <c r="R423" s="88"/>
      <c r="W423" s="58"/>
      <c r="X423" s="56"/>
      <c r="Y423" s="161"/>
    </row>
    <row r="424" spans="1:25">
      <c r="B424" s="238"/>
      <c r="C424" s="216"/>
      <c r="D424" s="238"/>
      <c r="E424" s="242"/>
      <c r="F424" s="240"/>
      <c r="G424" s="242"/>
      <c r="H424" s="160"/>
      <c r="N424" s="214"/>
      <c r="O424" s="214"/>
      <c r="P424" s="214"/>
      <c r="R424" s="88"/>
      <c r="W424" s="58"/>
      <c r="X424" s="56"/>
      <c r="Y424" s="161"/>
    </row>
    <row r="425" spans="1:25">
      <c r="B425" s="238"/>
      <c r="C425" s="216"/>
      <c r="D425" s="238"/>
      <c r="E425" s="242"/>
      <c r="F425" s="240"/>
      <c r="G425" s="242"/>
      <c r="H425" s="160"/>
      <c r="N425" s="214"/>
      <c r="O425" s="214"/>
      <c r="P425" s="214"/>
      <c r="R425" s="88"/>
      <c r="W425" s="58"/>
      <c r="X425" s="56"/>
      <c r="Y425" s="161"/>
    </row>
    <row r="426" spans="1:25">
      <c r="B426" s="238"/>
      <c r="C426" s="216"/>
      <c r="D426" s="238"/>
      <c r="E426" s="242"/>
      <c r="F426" s="240"/>
      <c r="G426" s="242"/>
      <c r="H426" s="160"/>
      <c r="N426" s="214"/>
      <c r="O426" s="214"/>
      <c r="P426" s="214"/>
      <c r="R426" s="88"/>
      <c r="W426" s="58"/>
      <c r="X426" s="56"/>
      <c r="Y426" s="161"/>
    </row>
    <row r="427" spans="1:25">
      <c r="B427" s="238"/>
      <c r="C427" s="216"/>
      <c r="D427" s="238"/>
      <c r="E427" s="242"/>
      <c r="F427" s="240"/>
      <c r="G427" s="242"/>
      <c r="H427" s="160"/>
      <c r="N427" s="214"/>
      <c r="O427" s="214"/>
      <c r="P427" s="214"/>
      <c r="R427" s="88"/>
      <c r="W427" s="58"/>
      <c r="X427" s="56"/>
      <c r="Y427" s="161"/>
    </row>
    <row r="428" spans="1:25">
      <c r="B428" s="238"/>
      <c r="C428" s="216"/>
      <c r="D428" s="238"/>
      <c r="E428" s="242"/>
      <c r="F428" s="240"/>
      <c r="G428" s="242"/>
      <c r="H428" s="160"/>
      <c r="N428" s="214"/>
      <c r="O428" s="214"/>
      <c r="P428" s="214"/>
      <c r="R428" s="88"/>
      <c r="W428" s="58"/>
      <c r="X428" s="56"/>
      <c r="Y428" s="161"/>
    </row>
    <row r="429" spans="1:25">
      <c r="C429" s="10"/>
      <c r="F429" s="270"/>
      <c r="G429" s="54"/>
      <c r="H429" s="160"/>
      <c r="N429" s="214"/>
      <c r="O429" s="214"/>
      <c r="P429" s="214"/>
      <c r="R429" s="88"/>
      <c r="W429" s="58"/>
      <c r="X429" s="56"/>
      <c r="Y429" s="161"/>
    </row>
    <row r="430" spans="1:25">
      <c r="C430" s="10"/>
      <c r="F430" s="270"/>
      <c r="G430" s="54"/>
      <c r="H430" s="160"/>
      <c r="N430" s="214"/>
      <c r="O430" s="214"/>
      <c r="P430" s="214"/>
      <c r="R430" s="88"/>
      <c r="W430" s="58"/>
      <c r="X430" s="56"/>
      <c r="Y430" s="161"/>
    </row>
    <row r="431" spans="1:25">
      <c r="C431" s="10"/>
      <c r="F431" s="270"/>
      <c r="G431" s="54"/>
      <c r="H431" s="160"/>
      <c r="N431" s="214"/>
      <c r="O431" s="214"/>
      <c r="P431" s="214"/>
      <c r="R431" s="88"/>
      <c r="W431" s="58"/>
      <c r="X431" s="56"/>
      <c r="Y431" s="161"/>
    </row>
    <row r="432" spans="1:25">
      <c r="C432" s="10"/>
      <c r="F432" s="270"/>
      <c r="G432" s="54"/>
      <c r="H432" s="160"/>
      <c r="N432" s="214"/>
      <c r="O432" s="214"/>
      <c r="P432" s="214"/>
      <c r="R432" s="88"/>
      <c r="W432" s="58"/>
      <c r="X432" s="56"/>
      <c r="Y432" s="161"/>
    </row>
    <row r="433" spans="2:25">
      <c r="C433" s="10"/>
      <c r="F433" s="270"/>
      <c r="G433" s="54"/>
      <c r="H433" s="160"/>
      <c r="N433" s="214"/>
      <c r="O433" s="214"/>
      <c r="P433" s="214"/>
      <c r="Q433" s="271"/>
      <c r="R433" s="88"/>
      <c r="W433" s="58"/>
      <c r="X433" s="56"/>
      <c r="Y433" s="161"/>
    </row>
    <row r="434" spans="2:25" ht="15"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</row>
    <row r="435" spans="2:25" ht="1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</row>
    <row r="436" spans="2:25" ht="15"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</row>
    <row r="437" spans="2:25" ht="15"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</row>
    <row r="438" spans="2:25" ht="15"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</row>
    <row r="439" spans="2:25" ht="15"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</row>
    <row r="440" spans="2:25" ht="15"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3"/>
    </row>
    <row r="441" spans="2:25" ht="15">
      <c r="B441" s="243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O441" s="243"/>
      <c r="P441" s="243"/>
    </row>
    <row r="442" spans="2:25" ht="15"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</row>
    <row r="443" spans="2:25" ht="15">
      <c r="B443" s="243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</row>
    <row r="444" spans="2:25" ht="15"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3"/>
    </row>
    <row r="445" spans="2:25" ht="15">
      <c r="B445" s="243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3"/>
    </row>
    <row r="446" spans="2:25" ht="15"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3"/>
    </row>
    <row r="447" spans="2:25" ht="15"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</row>
    <row r="448" spans="2:25" ht="15"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3"/>
      <c r="P448" s="243"/>
    </row>
    <row r="449" spans="2:16" ht="15"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</row>
    <row r="450" spans="2:16" ht="15">
      <c r="B450" s="243"/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</row>
    <row r="451" spans="2:16" ht="15">
      <c r="B451" s="243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</row>
    <row r="452" spans="2:16" ht="15">
      <c r="B452" s="243"/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3"/>
    </row>
    <row r="453" spans="2:16" ht="15">
      <c r="B453" s="243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3"/>
    </row>
    <row r="454" spans="2:16" ht="1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3"/>
    </row>
    <row r="455" spans="2:16" ht="1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3"/>
    </row>
    <row r="456" spans="2:16" ht="1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3"/>
    </row>
    <row r="457" spans="2:16" ht="1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3"/>
    </row>
    <row r="458" spans="2:16" ht="1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</row>
    <row r="459" spans="2:16" ht="15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</row>
    <row r="460" spans="2:16" ht="15">
      <c r="B460" s="243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</row>
    <row r="461" spans="2:16" ht="15"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</row>
    <row r="462" spans="2:16" ht="15"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</row>
    <row r="463" spans="2:16" ht="15"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243"/>
      <c r="P463" s="243"/>
    </row>
    <row r="464" spans="2:16" ht="15">
      <c r="B464" s="243"/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3"/>
    </row>
    <row r="465" spans="2:16" ht="15">
      <c r="B465" s="243"/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3"/>
    </row>
    <row r="466" spans="2:16" ht="15">
      <c r="B466" s="243"/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3"/>
    </row>
    <row r="467" spans="2:16" ht="15">
      <c r="B467" s="243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3"/>
    </row>
    <row r="468" spans="2:16" ht="15">
      <c r="B468" s="243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3"/>
    </row>
    <row r="469" spans="2:16" ht="15">
      <c r="B469" s="243"/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3"/>
    </row>
    <row r="470" spans="2:16" ht="15">
      <c r="B470" s="243"/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3"/>
    </row>
    <row r="471" spans="2:16" ht="15">
      <c r="B471" s="243"/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3"/>
    </row>
    <row r="472" spans="2:16" ht="15">
      <c r="B472" s="243"/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3"/>
    </row>
    <row r="473" spans="2:16" ht="15">
      <c r="B473" s="243"/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3"/>
    </row>
    <row r="474" spans="2:16" ht="15">
      <c r="B474" s="243"/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3"/>
    </row>
    <row r="475" spans="2:16" ht="15">
      <c r="B475" s="243"/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3"/>
    </row>
    <row r="476" spans="2:16" ht="15">
      <c r="B476" s="243"/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O476" s="243"/>
      <c r="P476" s="243"/>
    </row>
    <row r="477" spans="2:16" ht="15">
      <c r="B477" s="243"/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O477" s="243"/>
      <c r="P477" s="243"/>
    </row>
    <row r="478" spans="2:16" ht="15">
      <c r="B478" s="243"/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3"/>
    </row>
    <row r="479" spans="2:16" ht="15">
      <c r="B479" s="243"/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3"/>
    </row>
    <row r="480" spans="2:16" ht="15">
      <c r="B480" s="243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3"/>
    </row>
    <row r="481" spans="2:16" ht="15">
      <c r="B481" s="243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3"/>
    </row>
    <row r="482" spans="2:16" ht="15">
      <c r="B482" s="243"/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3"/>
      <c r="O482" s="243"/>
      <c r="P482" s="243"/>
    </row>
    <row r="483" spans="2:16" ht="15">
      <c r="B483" s="243"/>
      <c r="C483" s="243"/>
      <c r="D483" s="243"/>
      <c r="E483" s="243"/>
      <c r="F483" s="243"/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</row>
    <row r="484" spans="2:16" ht="15">
      <c r="B484" s="243"/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3"/>
    </row>
    <row r="485" spans="2:16" ht="15">
      <c r="B485" s="243"/>
      <c r="C485" s="243"/>
      <c r="D485" s="243"/>
      <c r="E485" s="243"/>
      <c r="F485" s="243"/>
      <c r="G485" s="243"/>
      <c r="H485" s="243"/>
      <c r="I485" s="243"/>
      <c r="J485" s="243"/>
      <c r="K485" s="243"/>
      <c r="L485" s="243"/>
      <c r="M485" s="243"/>
      <c r="N485" s="243"/>
      <c r="O485" s="243"/>
      <c r="P485" s="243"/>
    </row>
    <row r="486" spans="2:16" ht="15">
      <c r="B486" s="243"/>
      <c r="C486" s="243"/>
      <c r="D486" s="243"/>
      <c r="E486" s="243"/>
      <c r="F486" s="243"/>
      <c r="G486" s="243"/>
      <c r="H486" s="243"/>
      <c r="I486" s="243"/>
      <c r="J486" s="243"/>
      <c r="K486" s="243"/>
      <c r="L486" s="243"/>
      <c r="M486" s="243"/>
      <c r="N486" s="243"/>
      <c r="O486" s="243"/>
      <c r="P486" s="243"/>
    </row>
    <row r="487" spans="2:16" ht="15">
      <c r="B487" s="243"/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3"/>
    </row>
    <row r="488" spans="2:16" ht="15">
      <c r="B488" s="243"/>
      <c r="C488" s="243"/>
      <c r="D488" s="243"/>
      <c r="E488" s="243"/>
      <c r="F488" s="243"/>
      <c r="G488" s="243"/>
      <c r="H488" s="243"/>
      <c r="I488" s="243"/>
      <c r="J488" s="243"/>
      <c r="K488" s="243"/>
      <c r="L488" s="243"/>
      <c r="M488" s="243"/>
      <c r="N488" s="243"/>
      <c r="O488" s="243"/>
      <c r="P488" s="243"/>
    </row>
    <row r="489" spans="2:16" ht="15">
      <c r="B489" s="243"/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3"/>
    </row>
    <row r="490" spans="2:16" ht="15">
      <c r="B490" s="243"/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O490" s="243"/>
      <c r="P490" s="243"/>
    </row>
    <row r="491" spans="2:16" ht="15">
      <c r="B491" s="243"/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</row>
    <row r="492" spans="2:16" ht="15">
      <c r="B492" s="243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</row>
    <row r="493" spans="2:16" ht="15">
      <c r="B493" s="243"/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</row>
    <row r="494" spans="2:16" ht="15">
      <c r="B494" s="243"/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3"/>
    </row>
    <row r="495" spans="2:16" ht="15">
      <c r="B495" s="243"/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</row>
    <row r="496" spans="2:16" ht="15">
      <c r="B496" s="243"/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3"/>
      <c r="O496" s="243"/>
      <c r="P496" s="243"/>
    </row>
    <row r="497" spans="2:16" ht="15">
      <c r="B497" s="243"/>
      <c r="C497" s="243"/>
      <c r="D497" s="243"/>
      <c r="E497" s="243"/>
      <c r="F497" s="243"/>
      <c r="G497" s="243"/>
      <c r="H497" s="243"/>
      <c r="I497" s="243"/>
      <c r="J497" s="243"/>
      <c r="K497" s="243"/>
      <c r="L497" s="243"/>
      <c r="M497" s="243"/>
      <c r="N497" s="243"/>
      <c r="O497" s="243"/>
      <c r="P497" s="243"/>
    </row>
    <row r="498" spans="2:16" ht="15">
      <c r="B498" s="243"/>
      <c r="C498" s="243"/>
      <c r="D498" s="243"/>
      <c r="E498" s="243"/>
      <c r="F498" s="243"/>
      <c r="G498" s="243"/>
      <c r="H498" s="243"/>
      <c r="I498" s="243"/>
      <c r="J498" s="243"/>
      <c r="K498" s="243"/>
      <c r="L498" s="243"/>
      <c r="M498" s="243"/>
      <c r="N498" s="243"/>
      <c r="O498" s="243"/>
      <c r="P498" s="243"/>
    </row>
    <row r="499" spans="2:16" ht="15">
      <c r="B499" s="243"/>
      <c r="C499" s="243"/>
      <c r="D499" s="243"/>
      <c r="E499" s="243"/>
      <c r="F499" s="243"/>
      <c r="G499" s="243"/>
      <c r="H499" s="243"/>
      <c r="I499" s="243"/>
      <c r="J499" s="243"/>
      <c r="K499" s="243"/>
      <c r="L499" s="243"/>
      <c r="M499" s="243"/>
      <c r="N499" s="243"/>
      <c r="O499" s="243"/>
      <c r="P499" s="243"/>
    </row>
    <row r="500" spans="2:16" ht="15">
      <c r="B500" s="243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3"/>
    </row>
    <row r="501" spans="2:16" ht="15">
      <c r="B501" s="243"/>
      <c r="C501" s="243"/>
      <c r="D501" s="243"/>
      <c r="E501" s="243"/>
      <c r="F501" s="243"/>
      <c r="G501" s="243"/>
      <c r="H501" s="243"/>
      <c r="I501" s="243"/>
      <c r="J501" s="243"/>
      <c r="K501" s="243"/>
      <c r="L501" s="243"/>
      <c r="M501" s="243"/>
      <c r="N501" s="243"/>
      <c r="O501" s="243"/>
      <c r="P501" s="243"/>
    </row>
    <row r="502" spans="2:16" ht="15">
      <c r="B502" s="243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</row>
    <row r="503" spans="2:16" ht="15">
      <c r="B503" s="243"/>
      <c r="C503" s="243"/>
      <c r="D503" s="243"/>
      <c r="E503" s="243"/>
      <c r="F503" s="243"/>
      <c r="G503" s="243"/>
      <c r="H503" s="243"/>
      <c r="I503" s="243"/>
      <c r="J503" s="243"/>
      <c r="K503" s="243"/>
      <c r="L503" s="243"/>
      <c r="M503" s="243"/>
      <c r="N503" s="243"/>
      <c r="O503" s="243"/>
      <c r="P503" s="243"/>
    </row>
    <row r="504" spans="2:16" ht="15">
      <c r="B504" s="243"/>
      <c r="C504" s="243"/>
      <c r="D504" s="243"/>
      <c r="E504" s="243"/>
      <c r="F504" s="243"/>
      <c r="G504" s="243"/>
      <c r="H504" s="243"/>
      <c r="I504" s="243"/>
      <c r="J504" s="243"/>
      <c r="K504" s="243"/>
      <c r="L504" s="243"/>
      <c r="M504" s="243"/>
      <c r="N504" s="243"/>
      <c r="O504" s="243"/>
      <c r="P504" s="243"/>
    </row>
    <row r="505" spans="2:16" ht="15">
      <c r="B505" s="243"/>
      <c r="C505" s="243"/>
      <c r="D505" s="243"/>
      <c r="E505" s="243"/>
      <c r="F505" s="243"/>
      <c r="G505" s="243"/>
      <c r="H505" s="243"/>
      <c r="I505" s="243"/>
      <c r="J505" s="243"/>
      <c r="K505" s="243"/>
      <c r="L505" s="243"/>
      <c r="M505" s="243"/>
      <c r="N505" s="243"/>
      <c r="O505" s="243"/>
      <c r="P505" s="243"/>
    </row>
    <row r="506" spans="2:16" ht="15">
      <c r="B506" s="243"/>
      <c r="C506" s="243"/>
      <c r="D506" s="243"/>
      <c r="E506" s="243"/>
      <c r="F506" s="243"/>
      <c r="G506" s="243"/>
      <c r="H506" s="243"/>
      <c r="I506" s="243"/>
      <c r="J506" s="243"/>
      <c r="K506" s="243"/>
      <c r="L506" s="243"/>
      <c r="M506" s="243"/>
      <c r="N506" s="243"/>
      <c r="O506" s="243"/>
      <c r="P506" s="243"/>
    </row>
    <row r="507" spans="2:16" ht="15">
      <c r="B507" s="243"/>
      <c r="C507" s="243"/>
      <c r="D507" s="243"/>
      <c r="E507" s="243"/>
      <c r="F507" s="243"/>
      <c r="G507" s="243"/>
      <c r="H507" s="243"/>
      <c r="I507" s="243"/>
      <c r="J507" s="243"/>
      <c r="K507" s="243"/>
      <c r="L507" s="243"/>
      <c r="M507" s="243"/>
      <c r="N507" s="243"/>
      <c r="O507" s="243"/>
      <c r="P507" s="243"/>
    </row>
    <row r="508" spans="2:16" ht="15">
      <c r="B508" s="243"/>
      <c r="C508" s="243"/>
      <c r="D508" s="243"/>
      <c r="E508" s="243"/>
      <c r="F508" s="243"/>
      <c r="G508" s="243"/>
      <c r="H508" s="243"/>
      <c r="I508" s="243"/>
      <c r="J508" s="243"/>
      <c r="K508" s="243"/>
      <c r="L508" s="243"/>
      <c r="M508" s="243"/>
      <c r="N508" s="243"/>
      <c r="O508" s="243"/>
      <c r="P508" s="243"/>
    </row>
    <row r="509" spans="2:16" ht="15">
      <c r="B509" s="243"/>
      <c r="C509" s="243"/>
      <c r="D509" s="243"/>
      <c r="E509" s="243"/>
      <c r="F509" s="243"/>
      <c r="G509" s="243"/>
      <c r="H509" s="243"/>
      <c r="I509" s="243"/>
      <c r="J509" s="243"/>
      <c r="K509" s="243"/>
      <c r="L509" s="243"/>
      <c r="M509" s="243"/>
      <c r="N509" s="243"/>
      <c r="O509" s="243"/>
      <c r="P509" s="243"/>
    </row>
    <row r="510" spans="2:16" ht="15">
      <c r="B510" s="243"/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3"/>
    </row>
    <row r="511" spans="2:16" ht="15">
      <c r="B511" s="243"/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243"/>
      <c r="O511" s="243"/>
      <c r="P511" s="243"/>
    </row>
    <row r="512" spans="2:16" ht="15">
      <c r="B512" s="243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3"/>
    </row>
    <row r="513" spans="2:16" ht="15">
      <c r="B513" s="243"/>
      <c r="C513" s="243"/>
      <c r="D513" s="243"/>
      <c r="E513" s="243"/>
      <c r="F513" s="243"/>
      <c r="G513" s="243"/>
      <c r="H513" s="243"/>
      <c r="I513" s="243"/>
      <c r="J513" s="243"/>
      <c r="K513" s="243"/>
      <c r="L513" s="243"/>
      <c r="M513" s="243"/>
      <c r="N513" s="243"/>
      <c r="O513" s="243"/>
      <c r="P513" s="243"/>
    </row>
    <row r="514" spans="2:16" ht="15">
      <c r="B514" s="243"/>
      <c r="C514" s="243"/>
      <c r="D514" s="243"/>
      <c r="E514" s="243"/>
      <c r="F514" s="243"/>
      <c r="G514" s="243"/>
      <c r="H514" s="243"/>
      <c r="I514" s="243"/>
      <c r="J514" s="243"/>
      <c r="K514" s="243"/>
      <c r="L514" s="243"/>
      <c r="M514" s="243"/>
      <c r="N514" s="243"/>
      <c r="O514" s="243"/>
      <c r="P514" s="243"/>
    </row>
    <row r="515" spans="2:16" ht="15">
      <c r="B515" s="243"/>
      <c r="C515" s="243"/>
      <c r="D515" s="243"/>
      <c r="E515" s="243"/>
      <c r="F515" s="243"/>
      <c r="G515" s="243"/>
      <c r="H515" s="243"/>
      <c r="I515" s="243"/>
      <c r="J515" s="243"/>
      <c r="K515" s="243"/>
      <c r="L515" s="243"/>
      <c r="M515" s="243"/>
      <c r="N515" s="243"/>
      <c r="O515" s="243"/>
      <c r="P515" s="243"/>
    </row>
    <row r="516" spans="2:16" ht="15">
      <c r="B516" s="243"/>
      <c r="C516" s="243"/>
      <c r="D516" s="243"/>
      <c r="E516" s="243"/>
      <c r="F516" s="243"/>
      <c r="G516" s="243"/>
      <c r="H516" s="243"/>
      <c r="I516" s="243"/>
      <c r="J516" s="243"/>
      <c r="K516" s="243"/>
      <c r="L516" s="243"/>
      <c r="M516" s="243"/>
      <c r="N516" s="243"/>
      <c r="O516" s="243"/>
      <c r="P516" s="243"/>
    </row>
    <row r="517" spans="2:16" ht="15">
      <c r="B517" s="243"/>
      <c r="C517" s="243"/>
      <c r="D517" s="243"/>
      <c r="E517" s="243"/>
      <c r="F517" s="243"/>
      <c r="G517" s="243"/>
      <c r="H517" s="243"/>
      <c r="I517" s="243"/>
      <c r="J517" s="243"/>
      <c r="K517" s="243"/>
      <c r="L517" s="243"/>
      <c r="M517" s="243"/>
      <c r="N517" s="243"/>
      <c r="O517" s="243"/>
      <c r="P517" s="243"/>
    </row>
    <row r="518" spans="2:16" ht="15">
      <c r="B518" s="243"/>
      <c r="C518" s="243"/>
      <c r="D518" s="243"/>
      <c r="E518" s="243"/>
      <c r="F518" s="243"/>
      <c r="G518" s="243"/>
      <c r="H518" s="243"/>
      <c r="I518" s="243"/>
      <c r="J518" s="243"/>
      <c r="K518" s="243"/>
      <c r="L518" s="243"/>
      <c r="M518" s="243"/>
      <c r="N518" s="243"/>
      <c r="O518" s="243"/>
      <c r="P518" s="243"/>
    </row>
    <row r="519" spans="2:16" ht="15">
      <c r="B519" s="243"/>
      <c r="C519" s="243"/>
      <c r="D519" s="243"/>
      <c r="E519" s="243"/>
      <c r="F519" s="243"/>
      <c r="G519" s="243"/>
      <c r="H519" s="243"/>
      <c r="I519" s="243"/>
      <c r="J519" s="243"/>
      <c r="K519" s="243"/>
      <c r="L519" s="243"/>
      <c r="M519" s="243"/>
      <c r="N519" s="243"/>
      <c r="O519" s="243"/>
      <c r="P519" s="243"/>
    </row>
    <row r="520" spans="2:16" ht="15">
      <c r="B520" s="243"/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3"/>
    </row>
    <row r="521" spans="2:16" ht="15">
      <c r="B521" s="243"/>
      <c r="C521" s="243"/>
      <c r="D521" s="243"/>
      <c r="E521" s="243"/>
      <c r="F521" s="243"/>
      <c r="G521" s="243"/>
      <c r="H521" s="243"/>
      <c r="I521" s="243"/>
      <c r="J521" s="243"/>
      <c r="K521" s="243"/>
      <c r="L521" s="243"/>
      <c r="M521" s="243"/>
      <c r="N521" s="243"/>
      <c r="O521" s="243"/>
      <c r="P521" s="243"/>
    </row>
    <row r="522" spans="2:16" ht="15">
      <c r="B522" s="243"/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3"/>
    </row>
    <row r="523" spans="2:16" ht="15">
      <c r="B523" s="243"/>
      <c r="C523" s="243"/>
      <c r="D523" s="243"/>
      <c r="E523" s="243"/>
      <c r="F523" s="243"/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</row>
    <row r="524" spans="2:16" ht="15">
      <c r="B524" s="243"/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  <c r="O524" s="243"/>
      <c r="P524" s="243"/>
    </row>
    <row r="525" spans="2:16" ht="15">
      <c r="B525" s="243"/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243"/>
      <c r="O525" s="243"/>
      <c r="P525" s="243"/>
    </row>
    <row r="526" spans="2:16" ht="15">
      <c r="B526" s="243"/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3"/>
      <c r="O526" s="243"/>
      <c r="P526" s="243"/>
    </row>
    <row r="527" spans="2:16" ht="15">
      <c r="B527" s="243"/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3"/>
    </row>
    <row r="528" spans="2:16" ht="15">
      <c r="B528" s="243"/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3"/>
    </row>
    <row r="529" spans="2:16" ht="15">
      <c r="B529" s="243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</row>
    <row r="530" spans="2:16" ht="15">
      <c r="B530" s="243"/>
      <c r="C530" s="243"/>
      <c r="D530" s="243"/>
      <c r="E530" s="243"/>
      <c r="F530" s="243"/>
      <c r="G530" s="243"/>
      <c r="H530" s="243"/>
      <c r="I530" s="243"/>
      <c r="J530" s="243"/>
      <c r="K530" s="243"/>
      <c r="L530" s="243"/>
      <c r="M530" s="243"/>
      <c r="N530" s="243"/>
      <c r="O530" s="243"/>
      <c r="P530" s="243"/>
    </row>
    <row r="531" spans="2:16" ht="15">
      <c r="B531" s="243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43"/>
      <c r="P531" s="243"/>
    </row>
    <row r="532" spans="2:16" ht="15">
      <c r="B532" s="243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43"/>
      <c r="P532" s="243"/>
    </row>
    <row r="533" spans="2:16" ht="15">
      <c r="B533" s="243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43"/>
      <c r="P533" s="243"/>
    </row>
    <row r="534" spans="2:16" ht="15">
      <c r="B534" s="243"/>
      <c r="C534" s="243"/>
      <c r="D534" s="243"/>
      <c r="E534" s="243"/>
      <c r="F534" s="243"/>
      <c r="G534" s="243"/>
      <c r="H534" s="243"/>
      <c r="I534" s="243"/>
      <c r="J534" s="243"/>
      <c r="K534" s="243"/>
      <c r="L534" s="243"/>
      <c r="M534" s="243"/>
      <c r="N534" s="243"/>
      <c r="O534" s="243"/>
      <c r="P534" s="243"/>
    </row>
    <row r="535" spans="2:16" ht="15">
      <c r="B535" s="243"/>
      <c r="C535" s="243"/>
      <c r="D535" s="243"/>
      <c r="E535" s="243"/>
      <c r="F535" s="243"/>
      <c r="G535" s="243"/>
      <c r="H535" s="243"/>
      <c r="I535" s="243"/>
      <c r="J535" s="243"/>
      <c r="K535" s="243"/>
      <c r="L535" s="243"/>
      <c r="M535" s="243"/>
      <c r="N535" s="243"/>
      <c r="O535" s="243"/>
      <c r="P535" s="243"/>
    </row>
    <row r="536" spans="2:16" ht="15">
      <c r="B536" s="243"/>
      <c r="C536" s="243"/>
      <c r="D536" s="243"/>
      <c r="E536" s="243"/>
      <c r="F536" s="243"/>
      <c r="G536" s="243"/>
      <c r="H536" s="243"/>
      <c r="I536" s="243"/>
      <c r="J536" s="243"/>
      <c r="K536" s="243"/>
      <c r="L536" s="243"/>
      <c r="M536" s="243"/>
      <c r="N536" s="243"/>
      <c r="O536" s="243"/>
      <c r="P536" s="243"/>
    </row>
    <row r="537" spans="2:16" ht="15"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3"/>
      <c r="O537" s="243"/>
      <c r="P537" s="243"/>
    </row>
    <row r="538" spans="2:16" ht="15">
      <c r="B538" s="243"/>
      <c r="C538" s="243"/>
      <c r="D538" s="243"/>
      <c r="E538" s="243"/>
      <c r="F538" s="243"/>
      <c r="G538" s="243"/>
      <c r="H538" s="243"/>
      <c r="I538" s="243"/>
      <c r="J538" s="243"/>
      <c r="K538" s="243"/>
      <c r="L538" s="243"/>
      <c r="M538" s="243"/>
      <c r="N538" s="243"/>
      <c r="O538" s="243"/>
      <c r="P538" s="243"/>
    </row>
    <row r="539" spans="2:16" ht="15">
      <c r="B539" s="243"/>
      <c r="C539" s="243"/>
      <c r="D539" s="243"/>
      <c r="E539" s="243"/>
      <c r="F539" s="243"/>
      <c r="G539" s="243"/>
      <c r="H539" s="243"/>
      <c r="I539" s="243"/>
      <c r="J539" s="243"/>
      <c r="K539" s="243"/>
      <c r="L539" s="243"/>
      <c r="M539" s="243"/>
      <c r="N539" s="243"/>
      <c r="O539" s="243"/>
      <c r="P539" s="243"/>
    </row>
  </sheetData>
  <mergeCells count="23">
    <mergeCell ref="A267:E267"/>
    <mergeCell ref="U274:W274"/>
    <mergeCell ref="A275:E275"/>
    <mergeCell ref="U280:W280"/>
    <mergeCell ref="D307:E307"/>
    <mergeCell ref="U256:W256"/>
    <mergeCell ref="A10:E10"/>
    <mergeCell ref="A34:E34"/>
    <mergeCell ref="A177:E177"/>
    <mergeCell ref="A197:E197"/>
    <mergeCell ref="A206:E206"/>
    <mergeCell ref="U219:W219"/>
    <mergeCell ref="A220:E220"/>
    <mergeCell ref="A231:E231"/>
    <mergeCell ref="U242:W242"/>
    <mergeCell ref="A244:E244"/>
    <mergeCell ref="A249:E249"/>
    <mergeCell ref="U1:W1"/>
    <mergeCell ref="A3:B3"/>
    <mergeCell ref="A7:B7"/>
    <mergeCell ref="U7:W7"/>
    <mergeCell ref="D8:E8"/>
    <mergeCell ref="V8:W8"/>
  </mergeCells>
  <printOptions headings="1"/>
  <pageMargins left="0.7" right="0.7" top="0.75" bottom="0.75" header="0.3" footer="0.3"/>
  <pageSetup scale="33" fitToHeight="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15"/>
  <sheetViews>
    <sheetView tabSelected="1" view="pageBreakPreview" zoomScale="60" zoomScaleNormal="100" workbookViewId="0">
      <selection activeCell="S283" sqref="S283"/>
    </sheetView>
  </sheetViews>
  <sheetFormatPr defaultRowHeight="15"/>
  <cols>
    <col min="1" max="1" width="37" bestFit="1" customWidth="1"/>
    <col min="2" max="2" width="19" bestFit="1" customWidth="1"/>
    <col min="3" max="3" width="16" bestFit="1" customWidth="1"/>
    <col min="4" max="4" width="10.5703125" bestFit="1" customWidth="1"/>
    <col min="5" max="5" width="6.140625" bestFit="1" customWidth="1"/>
    <col min="6" max="6" width="9" bestFit="1" customWidth="1"/>
  </cols>
  <sheetData>
    <row r="7" spans="1:6">
      <c r="C7" s="274">
        <v>41274</v>
      </c>
    </row>
    <row r="8" spans="1:6">
      <c r="A8" s="264" t="s">
        <v>772</v>
      </c>
      <c r="B8" s="246" t="s">
        <v>773</v>
      </c>
      <c r="C8" s="246" t="s">
        <v>774</v>
      </c>
      <c r="D8" s="246" t="s">
        <v>775</v>
      </c>
      <c r="E8" s="264" t="s">
        <v>776</v>
      </c>
      <c r="F8" s="264" t="s">
        <v>777</v>
      </c>
    </row>
    <row r="9" spans="1:6">
      <c r="A9" s="249" t="s">
        <v>778</v>
      </c>
      <c r="B9" s="272">
        <v>194547</v>
      </c>
      <c r="C9" s="272">
        <v>194547</v>
      </c>
      <c r="D9" s="272">
        <v>0</v>
      </c>
      <c r="E9" s="249" t="s">
        <v>779</v>
      </c>
      <c r="F9" s="249" t="s">
        <v>780</v>
      </c>
    </row>
    <row r="10" spans="1:6">
      <c r="A10" s="249" t="s">
        <v>781</v>
      </c>
      <c r="B10" s="272">
        <v>35480</v>
      </c>
      <c r="C10" s="272">
        <v>35480</v>
      </c>
      <c r="D10" s="272">
        <v>0</v>
      </c>
      <c r="E10" s="249" t="s">
        <v>779</v>
      </c>
      <c r="F10" s="249" t="s">
        <v>782</v>
      </c>
    </row>
    <row r="11" spans="1:6">
      <c r="A11" s="249" t="s">
        <v>783</v>
      </c>
      <c r="B11" s="272">
        <v>-50060762.57</v>
      </c>
      <c r="C11" s="272">
        <v>-49411738.990000002</v>
      </c>
      <c r="D11" s="272">
        <v>649023.57999999996</v>
      </c>
      <c r="E11" s="249" t="s">
        <v>779</v>
      </c>
      <c r="F11" s="249" t="s">
        <v>784</v>
      </c>
    </row>
    <row r="12" spans="1:6">
      <c r="A12" s="249" t="s">
        <v>785</v>
      </c>
      <c r="B12" s="272">
        <v>-7766188.5499999998</v>
      </c>
      <c r="C12" s="272">
        <v>-7192119.9900000002</v>
      </c>
      <c r="D12" s="272">
        <v>574068.56000000006</v>
      </c>
      <c r="E12" s="249" t="s">
        <v>779</v>
      </c>
      <c r="F12" s="249" t="s">
        <v>786</v>
      </c>
    </row>
    <row r="14" spans="1:6" ht="15.75" thickBot="1">
      <c r="B14" s="247">
        <f>SUM(B9:B13)</f>
        <v>-57596924.119999997</v>
      </c>
      <c r="C14" s="273">
        <f>SUM(C9:C13)</f>
        <v>-56373831.980000004</v>
      </c>
    </row>
    <row r="15" spans="1:6" ht="15.75" thickTop="1"/>
  </sheetData>
  <printOptions headings="1"/>
  <pageMargins left="0.7" right="0.7" top="0.75" bottom="0.75" header="0.3" footer="0.3"/>
  <pageSetup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530"/>
  <sheetViews>
    <sheetView tabSelected="1" view="pageBreakPreview" zoomScale="60" zoomScaleNormal="100" workbookViewId="0">
      <pane xSplit="2" ySplit="8" topLeftCell="Q277" activePane="bottomRight" state="frozen"/>
      <selection activeCell="S283" sqref="S283"/>
      <selection pane="topRight" activeCell="S283" sqref="S283"/>
      <selection pane="bottomLeft" activeCell="S283" sqref="S283"/>
      <selection pane="bottomRight" activeCell="S283" sqref="S283"/>
    </sheetView>
  </sheetViews>
  <sheetFormatPr defaultColWidth="8.85546875" defaultRowHeight="13.5"/>
  <cols>
    <col min="1" max="1" width="11" style="10" customWidth="1"/>
    <col min="2" max="2" width="50.7109375" style="10" bestFit="1" customWidth="1"/>
    <col min="3" max="5" width="11.28515625" style="54" customWidth="1"/>
    <col min="6" max="6" width="15.28515625" style="160" customWidth="1"/>
    <col min="7" max="19" width="15.7109375" style="10" customWidth="1"/>
    <col min="20" max="20" width="4.7109375" style="10" customWidth="1"/>
    <col min="21" max="22" width="12.7109375" style="10" customWidth="1"/>
    <col min="23" max="23" width="13.7109375" style="10" customWidth="1"/>
    <col min="24" max="24" width="2.28515625" style="10" bestFit="1" customWidth="1"/>
    <col min="25" max="25" width="18.7109375" style="10" customWidth="1"/>
    <col min="26" max="26" width="7.7109375" style="10" bestFit="1" customWidth="1"/>
    <col min="27" max="256" width="8.85546875" style="10"/>
    <col min="257" max="257" width="11" style="10" customWidth="1"/>
    <col min="258" max="258" width="50.7109375" style="10" bestFit="1" customWidth="1"/>
    <col min="259" max="261" width="11.28515625" style="10" customWidth="1"/>
    <col min="262" max="262" width="15.28515625" style="10" customWidth="1"/>
    <col min="263" max="275" width="15.7109375" style="10" customWidth="1"/>
    <col min="276" max="276" width="4.7109375" style="10" customWidth="1"/>
    <col min="277" max="278" width="12.7109375" style="10" customWidth="1"/>
    <col min="279" max="279" width="13.7109375" style="10" customWidth="1"/>
    <col min="280" max="280" width="2.28515625" style="10" bestFit="1" customWidth="1"/>
    <col min="281" max="281" width="18.7109375" style="10" customWidth="1"/>
    <col min="282" max="282" width="6.85546875" style="10" bestFit="1" customWidth="1"/>
    <col min="283" max="512" width="8.85546875" style="10"/>
    <col min="513" max="513" width="11" style="10" customWidth="1"/>
    <col min="514" max="514" width="50.7109375" style="10" bestFit="1" customWidth="1"/>
    <col min="515" max="517" width="11.28515625" style="10" customWidth="1"/>
    <col min="518" max="518" width="15.28515625" style="10" customWidth="1"/>
    <col min="519" max="531" width="15.7109375" style="10" customWidth="1"/>
    <col min="532" max="532" width="4.7109375" style="10" customWidth="1"/>
    <col min="533" max="534" width="12.7109375" style="10" customWidth="1"/>
    <col min="535" max="535" width="13.7109375" style="10" customWidth="1"/>
    <col min="536" max="536" width="2.28515625" style="10" bestFit="1" customWidth="1"/>
    <col min="537" max="537" width="18.7109375" style="10" customWidth="1"/>
    <col min="538" max="538" width="6.85546875" style="10" bestFit="1" customWidth="1"/>
    <col min="539" max="768" width="8.85546875" style="10"/>
    <col min="769" max="769" width="11" style="10" customWidth="1"/>
    <col min="770" max="770" width="50.7109375" style="10" bestFit="1" customWidth="1"/>
    <col min="771" max="773" width="11.28515625" style="10" customWidth="1"/>
    <col min="774" max="774" width="15.28515625" style="10" customWidth="1"/>
    <col min="775" max="787" width="15.7109375" style="10" customWidth="1"/>
    <col min="788" max="788" width="4.7109375" style="10" customWidth="1"/>
    <col min="789" max="790" width="12.7109375" style="10" customWidth="1"/>
    <col min="791" max="791" width="13.7109375" style="10" customWidth="1"/>
    <col min="792" max="792" width="2.28515625" style="10" bestFit="1" customWidth="1"/>
    <col min="793" max="793" width="18.7109375" style="10" customWidth="1"/>
    <col min="794" max="794" width="6.85546875" style="10" bestFit="1" customWidth="1"/>
    <col min="795" max="1024" width="8.85546875" style="10"/>
    <col min="1025" max="1025" width="11" style="10" customWidth="1"/>
    <col min="1026" max="1026" width="50.7109375" style="10" bestFit="1" customWidth="1"/>
    <col min="1027" max="1029" width="11.28515625" style="10" customWidth="1"/>
    <col min="1030" max="1030" width="15.28515625" style="10" customWidth="1"/>
    <col min="1031" max="1043" width="15.7109375" style="10" customWidth="1"/>
    <col min="1044" max="1044" width="4.7109375" style="10" customWidth="1"/>
    <col min="1045" max="1046" width="12.7109375" style="10" customWidth="1"/>
    <col min="1047" max="1047" width="13.7109375" style="10" customWidth="1"/>
    <col min="1048" max="1048" width="2.28515625" style="10" bestFit="1" customWidth="1"/>
    <col min="1049" max="1049" width="18.7109375" style="10" customWidth="1"/>
    <col min="1050" max="1050" width="6.85546875" style="10" bestFit="1" customWidth="1"/>
    <col min="1051" max="1280" width="8.85546875" style="10"/>
    <col min="1281" max="1281" width="11" style="10" customWidth="1"/>
    <col min="1282" max="1282" width="50.7109375" style="10" bestFit="1" customWidth="1"/>
    <col min="1283" max="1285" width="11.28515625" style="10" customWidth="1"/>
    <col min="1286" max="1286" width="15.28515625" style="10" customWidth="1"/>
    <col min="1287" max="1299" width="15.7109375" style="10" customWidth="1"/>
    <col min="1300" max="1300" width="4.7109375" style="10" customWidth="1"/>
    <col min="1301" max="1302" width="12.7109375" style="10" customWidth="1"/>
    <col min="1303" max="1303" width="13.7109375" style="10" customWidth="1"/>
    <col min="1304" max="1304" width="2.28515625" style="10" bestFit="1" customWidth="1"/>
    <col min="1305" max="1305" width="18.7109375" style="10" customWidth="1"/>
    <col min="1306" max="1306" width="6.85546875" style="10" bestFit="1" customWidth="1"/>
    <col min="1307" max="1536" width="8.85546875" style="10"/>
    <col min="1537" max="1537" width="11" style="10" customWidth="1"/>
    <col min="1538" max="1538" width="50.7109375" style="10" bestFit="1" customWidth="1"/>
    <col min="1539" max="1541" width="11.28515625" style="10" customWidth="1"/>
    <col min="1542" max="1542" width="15.28515625" style="10" customWidth="1"/>
    <col min="1543" max="1555" width="15.7109375" style="10" customWidth="1"/>
    <col min="1556" max="1556" width="4.7109375" style="10" customWidth="1"/>
    <col min="1557" max="1558" width="12.7109375" style="10" customWidth="1"/>
    <col min="1559" max="1559" width="13.7109375" style="10" customWidth="1"/>
    <col min="1560" max="1560" width="2.28515625" style="10" bestFit="1" customWidth="1"/>
    <col min="1561" max="1561" width="18.7109375" style="10" customWidth="1"/>
    <col min="1562" max="1562" width="6.85546875" style="10" bestFit="1" customWidth="1"/>
    <col min="1563" max="1792" width="8.85546875" style="10"/>
    <col min="1793" max="1793" width="11" style="10" customWidth="1"/>
    <col min="1794" max="1794" width="50.7109375" style="10" bestFit="1" customWidth="1"/>
    <col min="1795" max="1797" width="11.28515625" style="10" customWidth="1"/>
    <col min="1798" max="1798" width="15.28515625" style="10" customWidth="1"/>
    <col min="1799" max="1811" width="15.7109375" style="10" customWidth="1"/>
    <col min="1812" max="1812" width="4.7109375" style="10" customWidth="1"/>
    <col min="1813" max="1814" width="12.7109375" style="10" customWidth="1"/>
    <col min="1815" max="1815" width="13.7109375" style="10" customWidth="1"/>
    <col min="1816" max="1816" width="2.28515625" style="10" bestFit="1" customWidth="1"/>
    <col min="1817" max="1817" width="18.7109375" style="10" customWidth="1"/>
    <col min="1818" max="1818" width="6.85546875" style="10" bestFit="1" customWidth="1"/>
    <col min="1819" max="2048" width="8.85546875" style="10"/>
    <col min="2049" max="2049" width="11" style="10" customWidth="1"/>
    <col min="2050" max="2050" width="50.7109375" style="10" bestFit="1" customWidth="1"/>
    <col min="2051" max="2053" width="11.28515625" style="10" customWidth="1"/>
    <col min="2054" max="2054" width="15.28515625" style="10" customWidth="1"/>
    <col min="2055" max="2067" width="15.7109375" style="10" customWidth="1"/>
    <col min="2068" max="2068" width="4.7109375" style="10" customWidth="1"/>
    <col min="2069" max="2070" width="12.7109375" style="10" customWidth="1"/>
    <col min="2071" max="2071" width="13.7109375" style="10" customWidth="1"/>
    <col min="2072" max="2072" width="2.28515625" style="10" bestFit="1" customWidth="1"/>
    <col min="2073" max="2073" width="18.7109375" style="10" customWidth="1"/>
    <col min="2074" max="2074" width="6.85546875" style="10" bestFit="1" customWidth="1"/>
    <col min="2075" max="2304" width="8.85546875" style="10"/>
    <col min="2305" max="2305" width="11" style="10" customWidth="1"/>
    <col min="2306" max="2306" width="50.7109375" style="10" bestFit="1" customWidth="1"/>
    <col min="2307" max="2309" width="11.28515625" style="10" customWidth="1"/>
    <col min="2310" max="2310" width="15.28515625" style="10" customWidth="1"/>
    <col min="2311" max="2323" width="15.7109375" style="10" customWidth="1"/>
    <col min="2324" max="2324" width="4.7109375" style="10" customWidth="1"/>
    <col min="2325" max="2326" width="12.7109375" style="10" customWidth="1"/>
    <col min="2327" max="2327" width="13.7109375" style="10" customWidth="1"/>
    <col min="2328" max="2328" width="2.28515625" style="10" bestFit="1" customWidth="1"/>
    <col min="2329" max="2329" width="18.7109375" style="10" customWidth="1"/>
    <col min="2330" max="2330" width="6.85546875" style="10" bestFit="1" customWidth="1"/>
    <col min="2331" max="2560" width="8.85546875" style="10"/>
    <col min="2561" max="2561" width="11" style="10" customWidth="1"/>
    <col min="2562" max="2562" width="50.7109375" style="10" bestFit="1" customWidth="1"/>
    <col min="2563" max="2565" width="11.28515625" style="10" customWidth="1"/>
    <col min="2566" max="2566" width="15.28515625" style="10" customWidth="1"/>
    <col min="2567" max="2579" width="15.7109375" style="10" customWidth="1"/>
    <col min="2580" max="2580" width="4.7109375" style="10" customWidth="1"/>
    <col min="2581" max="2582" width="12.7109375" style="10" customWidth="1"/>
    <col min="2583" max="2583" width="13.7109375" style="10" customWidth="1"/>
    <col min="2584" max="2584" width="2.28515625" style="10" bestFit="1" customWidth="1"/>
    <col min="2585" max="2585" width="18.7109375" style="10" customWidth="1"/>
    <col min="2586" max="2586" width="6.85546875" style="10" bestFit="1" customWidth="1"/>
    <col min="2587" max="2816" width="8.85546875" style="10"/>
    <col min="2817" max="2817" width="11" style="10" customWidth="1"/>
    <col min="2818" max="2818" width="50.7109375" style="10" bestFit="1" customWidth="1"/>
    <col min="2819" max="2821" width="11.28515625" style="10" customWidth="1"/>
    <col min="2822" max="2822" width="15.28515625" style="10" customWidth="1"/>
    <col min="2823" max="2835" width="15.7109375" style="10" customWidth="1"/>
    <col min="2836" max="2836" width="4.7109375" style="10" customWidth="1"/>
    <col min="2837" max="2838" width="12.7109375" style="10" customWidth="1"/>
    <col min="2839" max="2839" width="13.7109375" style="10" customWidth="1"/>
    <col min="2840" max="2840" width="2.28515625" style="10" bestFit="1" customWidth="1"/>
    <col min="2841" max="2841" width="18.7109375" style="10" customWidth="1"/>
    <col min="2842" max="2842" width="6.85546875" style="10" bestFit="1" customWidth="1"/>
    <col min="2843" max="3072" width="8.85546875" style="10"/>
    <col min="3073" max="3073" width="11" style="10" customWidth="1"/>
    <col min="3074" max="3074" width="50.7109375" style="10" bestFit="1" customWidth="1"/>
    <col min="3075" max="3077" width="11.28515625" style="10" customWidth="1"/>
    <col min="3078" max="3078" width="15.28515625" style="10" customWidth="1"/>
    <col min="3079" max="3091" width="15.7109375" style="10" customWidth="1"/>
    <col min="3092" max="3092" width="4.7109375" style="10" customWidth="1"/>
    <col min="3093" max="3094" width="12.7109375" style="10" customWidth="1"/>
    <col min="3095" max="3095" width="13.7109375" style="10" customWidth="1"/>
    <col min="3096" max="3096" width="2.28515625" style="10" bestFit="1" customWidth="1"/>
    <col min="3097" max="3097" width="18.7109375" style="10" customWidth="1"/>
    <col min="3098" max="3098" width="6.85546875" style="10" bestFit="1" customWidth="1"/>
    <col min="3099" max="3328" width="8.85546875" style="10"/>
    <col min="3329" max="3329" width="11" style="10" customWidth="1"/>
    <col min="3330" max="3330" width="50.7109375" style="10" bestFit="1" customWidth="1"/>
    <col min="3331" max="3333" width="11.28515625" style="10" customWidth="1"/>
    <col min="3334" max="3334" width="15.28515625" style="10" customWidth="1"/>
    <col min="3335" max="3347" width="15.7109375" style="10" customWidth="1"/>
    <col min="3348" max="3348" width="4.7109375" style="10" customWidth="1"/>
    <col min="3349" max="3350" width="12.7109375" style="10" customWidth="1"/>
    <col min="3351" max="3351" width="13.7109375" style="10" customWidth="1"/>
    <col min="3352" max="3352" width="2.28515625" style="10" bestFit="1" customWidth="1"/>
    <col min="3353" max="3353" width="18.7109375" style="10" customWidth="1"/>
    <col min="3354" max="3354" width="6.85546875" style="10" bestFit="1" customWidth="1"/>
    <col min="3355" max="3584" width="8.85546875" style="10"/>
    <col min="3585" max="3585" width="11" style="10" customWidth="1"/>
    <col min="3586" max="3586" width="50.7109375" style="10" bestFit="1" customWidth="1"/>
    <col min="3587" max="3589" width="11.28515625" style="10" customWidth="1"/>
    <col min="3590" max="3590" width="15.28515625" style="10" customWidth="1"/>
    <col min="3591" max="3603" width="15.7109375" style="10" customWidth="1"/>
    <col min="3604" max="3604" width="4.7109375" style="10" customWidth="1"/>
    <col min="3605" max="3606" width="12.7109375" style="10" customWidth="1"/>
    <col min="3607" max="3607" width="13.7109375" style="10" customWidth="1"/>
    <col min="3608" max="3608" width="2.28515625" style="10" bestFit="1" customWidth="1"/>
    <col min="3609" max="3609" width="18.7109375" style="10" customWidth="1"/>
    <col min="3610" max="3610" width="6.85546875" style="10" bestFit="1" customWidth="1"/>
    <col min="3611" max="3840" width="8.85546875" style="10"/>
    <col min="3841" max="3841" width="11" style="10" customWidth="1"/>
    <col min="3842" max="3842" width="50.7109375" style="10" bestFit="1" customWidth="1"/>
    <col min="3843" max="3845" width="11.28515625" style="10" customWidth="1"/>
    <col min="3846" max="3846" width="15.28515625" style="10" customWidth="1"/>
    <col min="3847" max="3859" width="15.7109375" style="10" customWidth="1"/>
    <col min="3860" max="3860" width="4.7109375" style="10" customWidth="1"/>
    <col min="3861" max="3862" width="12.7109375" style="10" customWidth="1"/>
    <col min="3863" max="3863" width="13.7109375" style="10" customWidth="1"/>
    <col min="3864" max="3864" width="2.28515625" style="10" bestFit="1" customWidth="1"/>
    <col min="3865" max="3865" width="18.7109375" style="10" customWidth="1"/>
    <col min="3866" max="3866" width="6.85546875" style="10" bestFit="1" customWidth="1"/>
    <col min="3867" max="4096" width="8.85546875" style="10"/>
    <col min="4097" max="4097" width="11" style="10" customWidth="1"/>
    <col min="4098" max="4098" width="50.7109375" style="10" bestFit="1" customWidth="1"/>
    <col min="4099" max="4101" width="11.28515625" style="10" customWidth="1"/>
    <col min="4102" max="4102" width="15.28515625" style="10" customWidth="1"/>
    <col min="4103" max="4115" width="15.7109375" style="10" customWidth="1"/>
    <col min="4116" max="4116" width="4.7109375" style="10" customWidth="1"/>
    <col min="4117" max="4118" width="12.7109375" style="10" customWidth="1"/>
    <col min="4119" max="4119" width="13.7109375" style="10" customWidth="1"/>
    <col min="4120" max="4120" width="2.28515625" style="10" bestFit="1" customWidth="1"/>
    <col min="4121" max="4121" width="18.7109375" style="10" customWidth="1"/>
    <col min="4122" max="4122" width="6.85546875" style="10" bestFit="1" customWidth="1"/>
    <col min="4123" max="4352" width="8.85546875" style="10"/>
    <col min="4353" max="4353" width="11" style="10" customWidth="1"/>
    <col min="4354" max="4354" width="50.7109375" style="10" bestFit="1" customWidth="1"/>
    <col min="4355" max="4357" width="11.28515625" style="10" customWidth="1"/>
    <col min="4358" max="4358" width="15.28515625" style="10" customWidth="1"/>
    <col min="4359" max="4371" width="15.7109375" style="10" customWidth="1"/>
    <col min="4372" max="4372" width="4.7109375" style="10" customWidth="1"/>
    <col min="4373" max="4374" width="12.7109375" style="10" customWidth="1"/>
    <col min="4375" max="4375" width="13.7109375" style="10" customWidth="1"/>
    <col min="4376" max="4376" width="2.28515625" style="10" bestFit="1" customWidth="1"/>
    <col min="4377" max="4377" width="18.7109375" style="10" customWidth="1"/>
    <col min="4378" max="4378" width="6.85546875" style="10" bestFit="1" customWidth="1"/>
    <col min="4379" max="4608" width="8.85546875" style="10"/>
    <col min="4609" max="4609" width="11" style="10" customWidth="1"/>
    <col min="4610" max="4610" width="50.7109375" style="10" bestFit="1" customWidth="1"/>
    <col min="4611" max="4613" width="11.28515625" style="10" customWidth="1"/>
    <col min="4614" max="4614" width="15.28515625" style="10" customWidth="1"/>
    <col min="4615" max="4627" width="15.7109375" style="10" customWidth="1"/>
    <col min="4628" max="4628" width="4.7109375" style="10" customWidth="1"/>
    <col min="4629" max="4630" width="12.7109375" style="10" customWidth="1"/>
    <col min="4631" max="4631" width="13.7109375" style="10" customWidth="1"/>
    <col min="4632" max="4632" width="2.28515625" style="10" bestFit="1" customWidth="1"/>
    <col min="4633" max="4633" width="18.7109375" style="10" customWidth="1"/>
    <col min="4634" max="4634" width="6.85546875" style="10" bestFit="1" customWidth="1"/>
    <col min="4635" max="4864" width="8.85546875" style="10"/>
    <col min="4865" max="4865" width="11" style="10" customWidth="1"/>
    <col min="4866" max="4866" width="50.7109375" style="10" bestFit="1" customWidth="1"/>
    <col min="4867" max="4869" width="11.28515625" style="10" customWidth="1"/>
    <col min="4870" max="4870" width="15.28515625" style="10" customWidth="1"/>
    <col min="4871" max="4883" width="15.7109375" style="10" customWidth="1"/>
    <col min="4884" max="4884" width="4.7109375" style="10" customWidth="1"/>
    <col min="4885" max="4886" width="12.7109375" style="10" customWidth="1"/>
    <col min="4887" max="4887" width="13.7109375" style="10" customWidth="1"/>
    <col min="4888" max="4888" width="2.28515625" style="10" bestFit="1" customWidth="1"/>
    <col min="4889" max="4889" width="18.7109375" style="10" customWidth="1"/>
    <col min="4890" max="4890" width="6.85546875" style="10" bestFit="1" customWidth="1"/>
    <col min="4891" max="5120" width="8.85546875" style="10"/>
    <col min="5121" max="5121" width="11" style="10" customWidth="1"/>
    <col min="5122" max="5122" width="50.7109375" style="10" bestFit="1" customWidth="1"/>
    <col min="5123" max="5125" width="11.28515625" style="10" customWidth="1"/>
    <col min="5126" max="5126" width="15.28515625" style="10" customWidth="1"/>
    <col min="5127" max="5139" width="15.7109375" style="10" customWidth="1"/>
    <col min="5140" max="5140" width="4.7109375" style="10" customWidth="1"/>
    <col min="5141" max="5142" width="12.7109375" style="10" customWidth="1"/>
    <col min="5143" max="5143" width="13.7109375" style="10" customWidth="1"/>
    <col min="5144" max="5144" width="2.28515625" style="10" bestFit="1" customWidth="1"/>
    <col min="5145" max="5145" width="18.7109375" style="10" customWidth="1"/>
    <col min="5146" max="5146" width="6.85546875" style="10" bestFit="1" customWidth="1"/>
    <col min="5147" max="5376" width="8.85546875" style="10"/>
    <col min="5377" max="5377" width="11" style="10" customWidth="1"/>
    <col min="5378" max="5378" width="50.7109375" style="10" bestFit="1" customWidth="1"/>
    <col min="5379" max="5381" width="11.28515625" style="10" customWidth="1"/>
    <col min="5382" max="5382" width="15.28515625" style="10" customWidth="1"/>
    <col min="5383" max="5395" width="15.7109375" style="10" customWidth="1"/>
    <col min="5396" max="5396" width="4.7109375" style="10" customWidth="1"/>
    <col min="5397" max="5398" width="12.7109375" style="10" customWidth="1"/>
    <col min="5399" max="5399" width="13.7109375" style="10" customWidth="1"/>
    <col min="5400" max="5400" width="2.28515625" style="10" bestFit="1" customWidth="1"/>
    <col min="5401" max="5401" width="18.7109375" style="10" customWidth="1"/>
    <col min="5402" max="5402" width="6.85546875" style="10" bestFit="1" customWidth="1"/>
    <col min="5403" max="5632" width="8.85546875" style="10"/>
    <col min="5633" max="5633" width="11" style="10" customWidth="1"/>
    <col min="5634" max="5634" width="50.7109375" style="10" bestFit="1" customWidth="1"/>
    <col min="5635" max="5637" width="11.28515625" style="10" customWidth="1"/>
    <col min="5638" max="5638" width="15.28515625" style="10" customWidth="1"/>
    <col min="5639" max="5651" width="15.7109375" style="10" customWidth="1"/>
    <col min="5652" max="5652" width="4.7109375" style="10" customWidth="1"/>
    <col min="5653" max="5654" width="12.7109375" style="10" customWidth="1"/>
    <col min="5655" max="5655" width="13.7109375" style="10" customWidth="1"/>
    <col min="5656" max="5656" width="2.28515625" style="10" bestFit="1" customWidth="1"/>
    <col min="5657" max="5657" width="18.7109375" style="10" customWidth="1"/>
    <col min="5658" max="5658" width="6.85546875" style="10" bestFit="1" customWidth="1"/>
    <col min="5659" max="5888" width="8.85546875" style="10"/>
    <col min="5889" max="5889" width="11" style="10" customWidth="1"/>
    <col min="5890" max="5890" width="50.7109375" style="10" bestFit="1" customWidth="1"/>
    <col min="5891" max="5893" width="11.28515625" style="10" customWidth="1"/>
    <col min="5894" max="5894" width="15.28515625" style="10" customWidth="1"/>
    <col min="5895" max="5907" width="15.7109375" style="10" customWidth="1"/>
    <col min="5908" max="5908" width="4.7109375" style="10" customWidth="1"/>
    <col min="5909" max="5910" width="12.7109375" style="10" customWidth="1"/>
    <col min="5911" max="5911" width="13.7109375" style="10" customWidth="1"/>
    <col min="5912" max="5912" width="2.28515625" style="10" bestFit="1" customWidth="1"/>
    <col min="5913" max="5913" width="18.7109375" style="10" customWidth="1"/>
    <col min="5914" max="5914" width="6.85546875" style="10" bestFit="1" customWidth="1"/>
    <col min="5915" max="6144" width="8.85546875" style="10"/>
    <col min="6145" max="6145" width="11" style="10" customWidth="1"/>
    <col min="6146" max="6146" width="50.7109375" style="10" bestFit="1" customWidth="1"/>
    <col min="6147" max="6149" width="11.28515625" style="10" customWidth="1"/>
    <col min="6150" max="6150" width="15.28515625" style="10" customWidth="1"/>
    <col min="6151" max="6163" width="15.7109375" style="10" customWidth="1"/>
    <col min="6164" max="6164" width="4.7109375" style="10" customWidth="1"/>
    <col min="6165" max="6166" width="12.7109375" style="10" customWidth="1"/>
    <col min="6167" max="6167" width="13.7109375" style="10" customWidth="1"/>
    <col min="6168" max="6168" width="2.28515625" style="10" bestFit="1" customWidth="1"/>
    <col min="6169" max="6169" width="18.7109375" style="10" customWidth="1"/>
    <col min="6170" max="6170" width="6.85546875" style="10" bestFit="1" customWidth="1"/>
    <col min="6171" max="6400" width="8.85546875" style="10"/>
    <col min="6401" max="6401" width="11" style="10" customWidth="1"/>
    <col min="6402" max="6402" width="50.7109375" style="10" bestFit="1" customWidth="1"/>
    <col min="6403" max="6405" width="11.28515625" style="10" customWidth="1"/>
    <col min="6406" max="6406" width="15.28515625" style="10" customWidth="1"/>
    <col min="6407" max="6419" width="15.7109375" style="10" customWidth="1"/>
    <col min="6420" max="6420" width="4.7109375" style="10" customWidth="1"/>
    <col min="6421" max="6422" width="12.7109375" style="10" customWidth="1"/>
    <col min="6423" max="6423" width="13.7109375" style="10" customWidth="1"/>
    <col min="6424" max="6424" width="2.28515625" style="10" bestFit="1" customWidth="1"/>
    <col min="6425" max="6425" width="18.7109375" style="10" customWidth="1"/>
    <col min="6426" max="6426" width="6.85546875" style="10" bestFit="1" customWidth="1"/>
    <col min="6427" max="6656" width="8.85546875" style="10"/>
    <col min="6657" max="6657" width="11" style="10" customWidth="1"/>
    <col min="6658" max="6658" width="50.7109375" style="10" bestFit="1" customWidth="1"/>
    <col min="6659" max="6661" width="11.28515625" style="10" customWidth="1"/>
    <col min="6662" max="6662" width="15.28515625" style="10" customWidth="1"/>
    <col min="6663" max="6675" width="15.7109375" style="10" customWidth="1"/>
    <col min="6676" max="6676" width="4.7109375" style="10" customWidth="1"/>
    <col min="6677" max="6678" width="12.7109375" style="10" customWidth="1"/>
    <col min="6679" max="6679" width="13.7109375" style="10" customWidth="1"/>
    <col min="6680" max="6680" width="2.28515625" style="10" bestFit="1" customWidth="1"/>
    <col min="6681" max="6681" width="18.7109375" style="10" customWidth="1"/>
    <col min="6682" max="6682" width="6.85546875" style="10" bestFit="1" customWidth="1"/>
    <col min="6683" max="6912" width="8.85546875" style="10"/>
    <col min="6913" max="6913" width="11" style="10" customWidth="1"/>
    <col min="6914" max="6914" width="50.7109375" style="10" bestFit="1" customWidth="1"/>
    <col min="6915" max="6917" width="11.28515625" style="10" customWidth="1"/>
    <col min="6918" max="6918" width="15.28515625" style="10" customWidth="1"/>
    <col min="6919" max="6931" width="15.7109375" style="10" customWidth="1"/>
    <col min="6932" max="6932" width="4.7109375" style="10" customWidth="1"/>
    <col min="6933" max="6934" width="12.7109375" style="10" customWidth="1"/>
    <col min="6935" max="6935" width="13.7109375" style="10" customWidth="1"/>
    <col min="6936" max="6936" width="2.28515625" style="10" bestFit="1" customWidth="1"/>
    <col min="6937" max="6937" width="18.7109375" style="10" customWidth="1"/>
    <col min="6938" max="6938" width="6.85546875" style="10" bestFit="1" customWidth="1"/>
    <col min="6939" max="7168" width="8.85546875" style="10"/>
    <col min="7169" max="7169" width="11" style="10" customWidth="1"/>
    <col min="7170" max="7170" width="50.7109375" style="10" bestFit="1" customWidth="1"/>
    <col min="7171" max="7173" width="11.28515625" style="10" customWidth="1"/>
    <col min="7174" max="7174" width="15.28515625" style="10" customWidth="1"/>
    <col min="7175" max="7187" width="15.7109375" style="10" customWidth="1"/>
    <col min="7188" max="7188" width="4.7109375" style="10" customWidth="1"/>
    <col min="7189" max="7190" width="12.7109375" style="10" customWidth="1"/>
    <col min="7191" max="7191" width="13.7109375" style="10" customWidth="1"/>
    <col min="7192" max="7192" width="2.28515625" style="10" bestFit="1" customWidth="1"/>
    <col min="7193" max="7193" width="18.7109375" style="10" customWidth="1"/>
    <col min="7194" max="7194" width="6.85546875" style="10" bestFit="1" customWidth="1"/>
    <col min="7195" max="7424" width="8.85546875" style="10"/>
    <col min="7425" max="7425" width="11" style="10" customWidth="1"/>
    <col min="7426" max="7426" width="50.7109375" style="10" bestFit="1" customWidth="1"/>
    <col min="7427" max="7429" width="11.28515625" style="10" customWidth="1"/>
    <col min="7430" max="7430" width="15.28515625" style="10" customWidth="1"/>
    <col min="7431" max="7443" width="15.7109375" style="10" customWidth="1"/>
    <col min="7444" max="7444" width="4.7109375" style="10" customWidth="1"/>
    <col min="7445" max="7446" width="12.7109375" style="10" customWidth="1"/>
    <col min="7447" max="7447" width="13.7109375" style="10" customWidth="1"/>
    <col min="7448" max="7448" width="2.28515625" style="10" bestFit="1" customWidth="1"/>
    <col min="7449" max="7449" width="18.7109375" style="10" customWidth="1"/>
    <col min="7450" max="7450" width="6.85546875" style="10" bestFit="1" customWidth="1"/>
    <col min="7451" max="7680" width="8.85546875" style="10"/>
    <col min="7681" max="7681" width="11" style="10" customWidth="1"/>
    <col min="7682" max="7682" width="50.7109375" style="10" bestFit="1" customWidth="1"/>
    <col min="7683" max="7685" width="11.28515625" style="10" customWidth="1"/>
    <col min="7686" max="7686" width="15.28515625" style="10" customWidth="1"/>
    <col min="7687" max="7699" width="15.7109375" style="10" customWidth="1"/>
    <col min="7700" max="7700" width="4.7109375" style="10" customWidth="1"/>
    <col min="7701" max="7702" width="12.7109375" style="10" customWidth="1"/>
    <col min="7703" max="7703" width="13.7109375" style="10" customWidth="1"/>
    <col min="7704" max="7704" width="2.28515625" style="10" bestFit="1" customWidth="1"/>
    <col min="7705" max="7705" width="18.7109375" style="10" customWidth="1"/>
    <col min="7706" max="7706" width="6.85546875" style="10" bestFit="1" customWidth="1"/>
    <col min="7707" max="7936" width="8.85546875" style="10"/>
    <col min="7937" max="7937" width="11" style="10" customWidth="1"/>
    <col min="7938" max="7938" width="50.7109375" style="10" bestFit="1" customWidth="1"/>
    <col min="7939" max="7941" width="11.28515625" style="10" customWidth="1"/>
    <col min="7942" max="7942" width="15.28515625" style="10" customWidth="1"/>
    <col min="7943" max="7955" width="15.7109375" style="10" customWidth="1"/>
    <col min="7956" max="7956" width="4.7109375" style="10" customWidth="1"/>
    <col min="7957" max="7958" width="12.7109375" style="10" customWidth="1"/>
    <col min="7959" max="7959" width="13.7109375" style="10" customWidth="1"/>
    <col min="7960" max="7960" width="2.28515625" style="10" bestFit="1" customWidth="1"/>
    <col min="7961" max="7961" width="18.7109375" style="10" customWidth="1"/>
    <col min="7962" max="7962" width="6.85546875" style="10" bestFit="1" customWidth="1"/>
    <col min="7963" max="8192" width="8.85546875" style="10"/>
    <col min="8193" max="8193" width="11" style="10" customWidth="1"/>
    <col min="8194" max="8194" width="50.7109375" style="10" bestFit="1" customWidth="1"/>
    <col min="8195" max="8197" width="11.28515625" style="10" customWidth="1"/>
    <col min="8198" max="8198" width="15.28515625" style="10" customWidth="1"/>
    <col min="8199" max="8211" width="15.7109375" style="10" customWidth="1"/>
    <col min="8212" max="8212" width="4.7109375" style="10" customWidth="1"/>
    <col min="8213" max="8214" width="12.7109375" style="10" customWidth="1"/>
    <col min="8215" max="8215" width="13.7109375" style="10" customWidth="1"/>
    <col min="8216" max="8216" width="2.28515625" style="10" bestFit="1" customWidth="1"/>
    <col min="8217" max="8217" width="18.7109375" style="10" customWidth="1"/>
    <col min="8218" max="8218" width="6.85546875" style="10" bestFit="1" customWidth="1"/>
    <col min="8219" max="8448" width="8.85546875" style="10"/>
    <col min="8449" max="8449" width="11" style="10" customWidth="1"/>
    <col min="8450" max="8450" width="50.7109375" style="10" bestFit="1" customWidth="1"/>
    <col min="8451" max="8453" width="11.28515625" style="10" customWidth="1"/>
    <col min="8454" max="8454" width="15.28515625" style="10" customWidth="1"/>
    <col min="8455" max="8467" width="15.7109375" style="10" customWidth="1"/>
    <col min="8468" max="8468" width="4.7109375" style="10" customWidth="1"/>
    <col min="8469" max="8470" width="12.7109375" style="10" customWidth="1"/>
    <col min="8471" max="8471" width="13.7109375" style="10" customWidth="1"/>
    <col min="8472" max="8472" width="2.28515625" style="10" bestFit="1" customWidth="1"/>
    <col min="8473" max="8473" width="18.7109375" style="10" customWidth="1"/>
    <col min="8474" max="8474" width="6.85546875" style="10" bestFit="1" customWidth="1"/>
    <col min="8475" max="8704" width="8.85546875" style="10"/>
    <col min="8705" max="8705" width="11" style="10" customWidth="1"/>
    <col min="8706" max="8706" width="50.7109375" style="10" bestFit="1" customWidth="1"/>
    <col min="8707" max="8709" width="11.28515625" style="10" customWidth="1"/>
    <col min="8710" max="8710" width="15.28515625" style="10" customWidth="1"/>
    <col min="8711" max="8723" width="15.7109375" style="10" customWidth="1"/>
    <col min="8724" max="8724" width="4.7109375" style="10" customWidth="1"/>
    <col min="8725" max="8726" width="12.7109375" style="10" customWidth="1"/>
    <col min="8727" max="8727" width="13.7109375" style="10" customWidth="1"/>
    <col min="8728" max="8728" width="2.28515625" style="10" bestFit="1" customWidth="1"/>
    <col min="8729" max="8729" width="18.7109375" style="10" customWidth="1"/>
    <col min="8730" max="8730" width="6.85546875" style="10" bestFit="1" customWidth="1"/>
    <col min="8731" max="8960" width="8.85546875" style="10"/>
    <col min="8961" max="8961" width="11" style="10" customWidth="1"/>
    <col min="8962" max="8962" width="50.7109375" style="10" bestFit="1" customWidth="1"/>
    <col min="8963" max="8965" width="11.28515625" style="10" customWidth="1"/>
    <col min="8966" max="8966" width="15.28515625" style="10" customWidth="1"/>
    <col min="8967" max="8979" width="15.7109375" style="10" customWidth="1"/>
    <col min="8980" max="8980" width="4.7109375" style="10" customWidth="1"/>
    <col min="8981" max="8982" width="12.7109375" style="10" customWidth="1"/>
    <col min="8983" max="8983" width="13.7109375" style="10" customWidth="1"/>
    <col min="8984" max="8984" width="2.28515625" style="10" bestFit="1" customWidth="1"/>
    <col min="8985" max="8985" width="18.7109375" style="10" customWidth="1"/>
    <col min="8986" max="8986" width="6.85546875" style="10" bestFit="1" customWidth="1"/>
    <col min="8987" max="9216" width="8.85546875" style="10"/>
    <col min="9217" max="9217" width="11" style="10" customWidth="1"/>
    <col min="9218" max="9218" width="50.7109375" style="10" bestFit="1" customWidth="1"/>
    <col min="9219" max="9221" width="11.28515625" style="10" customWidth="1"/>
    <col min="9222" max="9222" width="15.28515625" style="10" customWidth="1"/>
    <col min="9223" max="9235" width="15.7109375" style="10" customWidth="1"/>
    <col min="9236" max="9236" width="4.7109375" style="10" customWidth="1"/>
    <col min="9237" max="9238" width="12.7109375" style="10" customWidth="1"/>
    <col min="9239" max="9239" width="13.7109375" style="10" customWidth="1"/>
    <col min="9240" max="9240" width="2.28515625" style="10" bestFit="1" customWidth="1"/>
    <col min="9241" max="9241" width="18.7109375" style="10" customWidth="1"/>
    <col min="9242" max="9242" width="6.85546875" style="10" bestFit="1" customWidth="1"/>
    <col min="9243" max="9472" width="8.85546875" style="10"/>
    <col min="9473" max="9473" width="11" style="10" customWidth="1"/>
    <col min="9474" max="9474" width="50.7109375" style="10" bestFit="1" customWidth="1"/>
    <col min="9475" max="9477" width="11.28515625" style="10" customWidth="1"/>
    <col min="9478" max="9478" width="15.28515625" style="10" customWidth="1"/>
    <col min="9479" max="9491" width="15.7109375" style="10" customWidth="1"/>
    <col min="9492" max="9492" width="4.7109375" style="10" customWidth="1"/>
    <col min="9493" max="9494" width="12.7109375" style="10" customWidth="1"/>
    <col min="9495" max="9495" width="13.7109375" style="10" customWidth="1"/>
    <col min="9496" max="9496" width="2.28515625" style="10" bestFit="1" customWidth="1"/>
    <col min="9497" max="9497" width="18.7109375" style="10" customWidth="1"/>
    <col min="9498" max="9498" width="6.85546875" style="10" bestFit="1" customWidth="1"/>
    <col min="9499" max="9728" width="8.85546875" style="10"/>
    <col min="9729" max="9729" width="11" style="10" customWidth="1"/>
    <col min="9730" max="9730" width="50.7109375" style="10" bestFit="1" customWidth="1"/>
    <col min="9731" max="9733" width="11.28515625" style="10" customWidth="1"/>
    <col min="9734" max="9734" width="15.28515625" style="10" customWidth="1"/>
    <col min="9735" max="9747" width="15.7109375" style="10" customWidth="1"/>
    <col min="9748" max="9748" width="4.7109375" style="10" customWidth="1"/>
    <col min="9749" max="9750" width="12.7109375" style="10" customWidth="1"/>
    <col min="9751" max="9751" width="13.7109375" style="10" customWidth="1"/>
    <col min="9752" max="9752" width="2.28515625" style="10" bestFit="1" customWidth="1"/>
    <col min="9753" max="9753" width="18.7109375" style="10" customWidth="1"/>
    <col min="9754" max="9754" width="6.85546875" style="10" bestFit="1" customWidth="1"/>
    <col min="9755" max="9984" width="8.85546875" style="10"/>
    <col min="9985" max="9985" width="11" style="10" customWidth="1"/>
    <col min="9986" max="9986" width="50.7109375" style="10" bestFit="1" customWidth="1"/>
    <col min="9987" max="9989" width="11.28515625" style="10" customWidth="1"/>
    <col min="9990" max="9990" width="15.28515625" style="10" customWidth="1"/>
    <col min="9991" max="10003" width="15.7109375" style="10" customWidth="1"/>
    <col min="10004" max="10004" width="4.7109375" style="10" customWidth="1"/>
    <col min="10005" max="10006" width="12.7109375" style="10" customWidth="1"/>
    <col min="10007" max="10007" width="13.7109375" style="10" customWidth="1"/>
    <col min="10008" max="10008" width="2.28515625" style="10" bestFit="1" customWidth="1"/>
    <col min="10009" max="10009" width="18.7109375" style="10" customWidth="1"/>
    <col min="10010" max="10010" width="6.85546875" style="10" bestFit="1" customWidth="1"/>
    <col min="10011" max="10240" width="8.85546875" style="10"/>
    <col min="10241" max="10241" width="11" style="10" customWidth="1"/>
    <col min="10242" max="10242" width="50.7109375" style="10" bestFit="1" customWidth="1"/>
    <col min="10243" max="10245" width="11.28515625" style="10" customWidth="1"/>
    <col min="10246" max="10246" width="15.28515625" style="10" customWidth="1"/>
    <col min="10247" max="10259" width="15.7109375" style="10" customWidth="1"/>
    <col min="10260" max="10260" width="4.7109375" style="10" customWidth="1"/>
    <col min="10261" max="10262" width="12.7109375" style="10" customWidth="1"/>
    <col min="10263" max="10263" width="13.7109375" style="10" customWidth="1"/>
    <col min="10264" max="10264" width="2.28515625" style="10" bestFit="1" customWidth="1"/>
    <col min="10265" max="10265" width="18.7109375" style="10" customWidth="1"/>
    <col min="10266" max="10266" width="6.85546875" style="10" bestFit="1" customWidth="1"/>
    <col min="10267" max="10496" width="8.85546875" style="10"/>
    <col min="10497" max="10497" width="11" style="10" customWidth="1"/>
    <col min="10498" max="10498" width="50.7109375" style="10" bestFit="1" customWidth="1"/>
    <col min="10499" max="10501" width="11.28515625" style="10" customWidth="1"/>
    <col min="10502" max="10502" width="15.28515625" style="10" customWidth="1"/>
    <col min="10503" max="10515" width="15.7109375" style="10" customWidth="1"/>
    <col min="10516" max="10516" width="4.7109375" style="10" customWidth="1"/>
    <col min="10517" max="10518" width="12.7109375" style="10" customWidth="1"/>
    <col min="10519" max="10519" width="13.7109375" style="10" customWidth="1"/>
    <col min="10520" max="10520" width="2.28515625" style="10" bestFit="1" customWidth="1"/>
    <col min="10521" max="10521" width="18.7109375" style="10" customWidth="1"/>
    <col min="10522" max="10522" width="6.85546875" style="10" bestFit="1" customWidth="1"/>
    <col min="10523" max="10752" width="8.85546875" style="10"/>
    <col min="10753" max="10753" width="11" style="10" customWidth="1"/>
    <col min="10754" max="10754" width="50.7109375" style="10" bestFit="1" customWidth="1"/>
    <col min="10755" max="10757" width="11.28515625" style="10" customWidth="1"/>
    <col min="10758" max="10758" width="15.28515625" style="10" customWidth="1"/>
    <col min="10759" max="10771" width="15.7109375" style="10" customWidth="1"/>
    <col min="10772" max="10772" width="4.7109375" style="10" customWidth="1"/>
    <col min="10773" max="10774" width="12.7109375" style="10" customWidth="1"/>
    <col min="10775" max="10775" width="13.7109375" style="10" customWidth="1"/>
    <col min="10776" max="10776" width="2.28515625" style="10" bestFit="1" customWidth="1"/>
    <col min="10777" max="10777" width="18.7109375" style="10" customWidth="1"/>
    <col min="10778" max="10778" width="6.85546875" style="10" bestFit="1" customWidth="1"/>
    <col min="10779" max="11008" width="8.85546875" style="10"/>
    <col min="11009" max="11009" width="11" style="10" customWidth="1"/>
    <col min="11010" max="11010" width="50.7109375" style="10" bestFit="1" customWidth="1"/>
    <col min="11011" max="11013" width="11.28515625" style="10" customWidth="1"/>
    <col min="11014" max="11014" width="15.28515625" style="10" customWidth="1"/>
    <col min="11015" max="11027" width="15.7109375" style="10" customWidth="1"/>
    <col min="11028" max="11028" width="4.7109375" style="10" customWidth="1"/>
    <col min="11029" max="11030" width="12.7109375" style="10" customWidth="1"/>
    <col min="11031" max="11031" width="13.7109375" style="10" customWidth="1"/>
    <col min="11032" max="11032" width="2.28515625" style="10" bestFit="1" customWidth="1"/>
    <col min="11033" max="11033" width="18.7109375" style="10" customWidth="1"/>
    <col min="11034" max="11034" width="6.85546875" style="10" bestFit="1" customWidth="1"/>
    <col min="11035" max="11264" width="8.85546875" style="10"/>
    <col min="11265" max="11265" width="11" style="10" customWidth="1"/>
    <col min="11266" max="11266" width="50.7109375" style="10" bestFit="1" customWidth="1"/>
    <col min="11267" max="11269" width="11.28515625" style="10" customWidth="1"/>
    <col min="11270" max="11270" width="15.28515625" style="10" customWidth="1"/>
    <col min="11271" max="11283" width="15.7109375" style="10" customWidth="1"/>
    <col min="11284" max="11284" width="4.7109375" style="10" customWidth="1"/>
    <col min="11285" max="11286" width="12.7109375" style="10" customWidth="1"/>
    <col min="11287" max="11287" width="13.7109375" style="10" customWidth="1"/>
    <col min="11288" max="11288" width="2.28515625" style="10" bestFit="1" customWidth="1"/>
    <col min="11289" max="11289" width="18.7109375" style="10" customWidth="1"/>
    <col min="11290" max="11290" width="6.85546875" style="10" bestFit="1" customWidth="1"/>
    <col min="11291" max="11520" width="8.85546875" style="10"/>
    <col min="11521" max="11521" width="11" style="10" customWidth="1"/>
    <col min="11522" max="11522" width="50.7109375" style="10" bestFit="1" customWidth="1"/>
    <col min="11523" max="11525" width="11.28515625" style="10" customWidth="1"/>
    <col min="11526" max="11526" width="15.28515625" style="10" customWidth="1"/>
    <col min="11527" max="11539" width="15.7109375" style="10" customWidth="1"/>
    <col min="11540" max="11540" width="4.7109375" style="10" customWidth="1"/>
    <col min="11541" max="11542" width="12.7109375" style="10" customWidth="1"/>
    <col min="11543" max="11543" width="13.7109375" style="10" customWidth="1"/>
    <col min="11544" max="11544" width="2.28515625" style="10" bestFit="1" customWidth="1"/>
    <col min="11545" max="11545" width="18.7109375" style="10" customWidth="1"/>
    <col min="11546" max="11546" width="6.85546875" style="10" bestFit="1" customWidth="1"/>
    <col min="11547" max="11776" width="8.85546875" style="10"/>
    <col min="11777" max="11777" width="11" style="10" customWidth="1"/>
    <col min="11778" max="11778" width="50.7109375" style="10" bestFit="1" customWidth="1"/>
    <col min="11779" max="11781" width="11.28515625" style="10" customWidth="1"/>
    <col min="11782" max="11782" width="15.28515625" style="10" customWidth="1"/>
    <col min="11783" max="11795" width="15.7109375" style="10" customWidth="1"/>
    <col min="11796" max="11796" width="4.7109375" style="10" customWidth="1"/>
    <col min="11797" max="11798" width="12.7109375" style="10" customWidth="1"/>
    <col min="11799" max="11799" width="13.7109375" style="10" customWidth="1"/>
    <col min="11800" max="11800" width="2.28515625" style="10" bestFit="1" customWidth="1"/>
    <col min="11801" max="11801" width="18.7109375" style="10" customWidth="1"/>
    <col min="11802" max="11802" width="6.85546875" style="10" bestFit="1" customWidth="1"/>
    <col min="11803" max="12032" width="8.85546875" style="10"/>
    <col min="12033" max="12033" width="11" style="10" customWidth="1"/>
    <col min="12034" max="12034" width="50.7109375" style="10" bestFit="1" customWidth="1"/>
    <col min="12035" max="12037" width="11.28515625" style="10" customWidth="1"/>
    <col min="12038" max="12038" width="15.28515625" style="10" customWidth="1"/>
    <col min="12039" max="12051" width="15.7109375" style="10" customWidth="1"/>
    <col min="12052" max="12052" width="4.7109375" style="10" customWidth="1"/>
    <col min="12053" max="12054" width="12.7109375" style="10" customWidth="1"/>
    <col min="12055" max="12055" width="13.7109375" style="10" customWidth="1"/>
    <col min="12056" max="12056" width="2.28515625" style="10" bestFit="1" customWidth="1"/>
    <col min="12057" max="12057" width="18.7109375" style="10" customWidth="1"/>
    <col min="12058" max="12058" width="6.85546875" style="10" bestFit="1" customWidth="1"/>
    <col min="12059" max="12288" width="8.85546875" style="10"/>
    <col min="12289" max="12289" width="11" style="10" customWidth="1"/>
    <col min="12290" max="12290" width="50.7109375" style="10" bestFit="1" customWidth="1"/>
    <col min="12291" max="12293" width="11.28515625" style="10" customWidth="1"/>
    <col min="12294" max="12294" width="15.28515625" style="10" customWidth="1"/>
    <col min="12295" max="12307" width="15.7109375" style="10" customWidth="1"/>
    <col min="12308" max="12308" width="4.7109375" style="10" customWidth="1"/>
    <col min="12309" max="12310" width="12.7109375" style="10" customWidth="1"/>
    <col min="12311" max="12311" width="13.7109375" style="10" customWidth="1"/>
    <col min="12312" max="12312" width="2.28515625" style="10" bestFit="1" customWidth="1"/>
    <col min="12313" max="12313" width="18.7109375" style="10" customWidth="1"/>
    <col min="12314" max="12314" width="6.85546875" style="10" bestFit="1" customWidth="1"/>
    <col min="12315" max="12544" width="8.85546875" style="10"/>
    <col min="12545" max="12545" width="11" style="10" customWidth="1"/>
    <col min="12546" max="12546" width="50.7109375" style="10" bestFit="1" customWidth="1"/>
    <col min="12547" max="12549" width="11.28515625" style="10" customWidth="1"/>
    <col min="12550" max="12550" width="15.28515625" style="10" customWidth="1"/>
    <col min="12551" max="12563" width="15.7109375" style="10" customWidth="1"/>
    <col min="12564" max="12564" width="4.7109375" style="10" customWidth="1"/>
    <col min="12565" max="12566" width="12.7109375" style="10" customWidth="1"/>
    <col min="12567" max="12567" width="13.7109375" style="10" customWidth="1"/>
    <col min="12568" max="12568" width="2.28515625" style="10" bestFit="1" customWidth="1"/>
    <col min="12569" max="12569" width="18.7109375" style="10" customWidth="1"/>
    <col min="12570" max="12570" width="6.85546875" style="10" bestFit="1" customWidth="1"/>
    <col min="12571" max="12800" width="8.85546875" style="10"/>
    <col min="12801" max="12801" width="11" style="10" customWidth="1"/>
    <col min="12802" max="12802" width="50.7109375" style="10" bestFit="1" customWidth="1"/>
    <col min="12803" max="12805" width="11.28515625" style="10" customWidth="1"/>
    <col min="12806" max="12806" width="15.28515625" style="10" customWidth="1"/>
    <col min="12807" max="12819" width="15.7109375" style="10" customWidth="1"/>
    <col min="12820" max="12820" width="4.7109375" style="10" customWidth="1"/>
    <col min="12821" max="12822" width="12.7109375" style="10" customWidth="1"/>
    <col min="12823" max="12823" width="13.7109375" style="10" customWidth="1"/>
    <col min="12824" max="12824" width="2.28515625" style="10" bestFit="1" customWidth="1"/>
    <col min="12825" max="12825" width="18.7109375" style="10" customWidth="1"/>
    <col min="12826" max="12826" width="6.85546875" style="10" bestFit="1" customWidth="1"/>
    <col min="12827" max="13056" width="8.85546875" style="10"/>
    <col min="13057" max="13057" width="11" style="10" customWidth="1"/>
    <col min="13058" max="13058" width="50.7109375" style="10" bestFit="1" customWidth="1"/>
    <col min="13059" max="13061" width="11.28515625" style="10" customWidth="1"/>
    <col min="13062" max="13062" width="15.28515625" style="10" customWidth="1"/>
    <col min="13063" max="13075" width="15.7109375" style="10" customWidth="1"/>
    <col min="13076" max="13076" width="4.7109375" style="10" customWidth="1"/>
    <col min="13077" max="13078" width="12.7109375" style="10" customWidth="1"/>
    <col min="13079" max="13079" width="13.7109375" style="10" customWidth="1"/>
    <col min="13080" max="13080" width="2.28515625" style="10" bestFit="1" customWidth="1"/>
    <col min="13081" max="13081" width="18.7109375" style="10" customWidth="1"/>
    <col min="13082" max="13082" width="6.85546875" style="10" bestFit="1" customWidth="1"/>
    <col min="13083" max="13312" width="8.85546875" style="10"/>
    <col min="13313" max="13313" width="11" style="10" customWidth="1"/>
    <col min="13314" max="13314" width="50.7109375" style="10" bestFit="1" customWidth="1"/>
    <col min="13315" max="13317" width="11.28515625" style="10" customWidth="1"/>
    <col min="13318" max="13318" width="15.28515625" style="10" customWidth="1"/>
    <col min="13319" max="13331" width="15.7109375" style="10" customWidth="1"/>
    <col min="13332" max="13332" width="4.7109375" style="10" customWidth="1"/>
    <col min="13333" max="13334" width="12.7109375" style="10" customWidth="1"/>
    <col min="13335" max="13335" width="13.7109375" style="10" customWidth="1"/>
    <col min="13336" max="13336" width="2.28515625" style="10" bestFit="1" customWidth="1"/>
    <col min="13337" max="13337" width="18.7109375" style="10" customWidth="1"/>
    <col min="13338" max="13338" width="6.85546875" style="10" bestFit="1" customWidth="1"/>
    <col min="13339" max="13568" width="8.85546875" style="10"/>
    <col min="13569" max="13569" width="11" style="10" customWidth="1"/>
    <col min="13570" max="13570" width="50.7109375" style="10" bestFit="1" customWidth="1"/>
    <col min="13571" max="13573" width="11.28515625" style="10" customWidth="1"/>
    <col min="13574" max="13574" width="15.28515625" style="10" customWidth="1"/>
    <col min="13575" max="13587" width="15.7109375" style="10" customWidth="1"/>
    <col min="13588" max="13588" width="4.7109375" style="10" customWidth="1"/>
    <col min="13589" max="13590" width="12.7109375" style="10" customWidth="1"/>
    <col min="13591" max="13591" width="13.7109375" style="10" customWidth="1"/>
    <col min="13592" max="13592" width="2.28515625" style="10" bestFit="1" customWidth="1"/>
    <col min="13593" max="13593" width="18.7109375" style="10" customWidth="1"/>
    <col min="13594" max="13594" width="6.85546875" style="10" bestFit="1" customWidth="1"/>
    <col min="13595" max="13824" width="8.85546875" style="10"/>
    <col min="13825" max="13825" width="11" style="10" customWidth="1"/>
    <col min="13826" max="13826" width="50.7109375" style="10" bestFit="1" customWidth="1"/>
    <col min="13827" max="13829" width="11.28515625" style="10" customWidth="1"/>
    <col min="13830" max="13830" width="15.28515625" style="10" customWidth="1"/>
    <col min="13831" max="13843" width="15.7109375" style="10" customWidth="1"/>
    <col min="13844" max="13844" width="4.7109375" style="10" customWidth="1"/>
    <col min="13845" max="13846" width="12.7109375" style="10" customWidth="1"/>
    <col min="13847" max="13847" width="13.7109375" style="10" customWidth="1"/>
    <col min="13848" max="13848" width="2.28515625" style="10" bestFit="1" customWidth="1"/>
    <col min="13849" max="13849" width="18.7109375" style="10" customWidth="1"/>
    <col min="13850" max="13850" width="6.85546875" style="10" bestFit="1" customWidth="1"/>
    <col min="13851" max="14080" width="8.85546875" style="10"/>
    <col min="14081" max="14081" width="11" style="10" customWidth="1"/>
    <col min="14082" max="14082" width="50.7109375" style="10" bestFit="1" customWidth="1"/>
    <col min="14083" max="14085" width="11.28515625" style="10" customWidth="1"/>
    <col min="14086" max="14086" width="15.28515625" style="10" customWidth="1"/>
    <col min="14087" max="14099" width="15.7109375" style="10" customWidth="1"/>
    <col min="14100" max="14100" width="4.7109375" style="10" customWidth="1"/>
    <col min="14101" max="14102" width="12.7109375" style="10" customWidth="1"/>
    <col min="14103" max="14103" width="13.7109375" style="10" customWidth="1"/>
    <col min="14104" max="14104" width="2.28515625" style="10" bestFit="1" customWidth="1"/>
    <col min="14105" max="14105" width="18.7109375" style="10" customWidth="1"/>
    <col min="14106" max="14106" width="6.85546875" style="10" bestFit="1" customWidth="1"/>
    <col min="14107" max="14336" width="8.85546875" style="10"/>
    <col min="14337" max="14337" width="11" style="10" customWidth="1"/>
    <col min="14338" max="14338" width="50.7109375" style="10" bestFit="1" customWidth="1"/>
    <col min="14339" max="14341" width="11.28515625" style="10" customWidth="1"/>
    <col min="14342" max="14342" width="15.28515625" style="10" customWidth="1"/>
    <col min="14343" max="14355" width="15.7109375" style="10" customWidth="1"/>
    <col min="14356" max="14356" width="4.7109375" style="10" customWidth="1"/>
    <col min="14357" max="14358" width="12.7109375" style="10" customWidth="1"/>
    <col min="14359" max="14359" width="13.7109375" style="10" customWidth="1"/>
    <col min="14360" max="14360" width="2.28515625" style="10" bestFit="1" customWidth="1"/>
    <col min="14361" max="14361" width="18.7109375" style="10" customWidth="1"/>
    <col min="14362" max="14362" width="6.85546875" style="10" bestFit="1" customWidth="1"/>
    <col min="14363" max="14592" width="8.85546875" style="10"/>
    <col min="14593" max="14593" width="11" style="10" customWidth="1"/>
    <col min="14594" max="14594" width="50.7109375" style="10" bestFit="1" customWidth="1"/>
    <col min="14595" max="14597" width="11.28515625" style="10" customWidth="1"/>
    <col min="14598" max="14598" width="15.28515625" style="10" customWidth="1"/>
    <col min="14599" max="14611" width="15.7109375" style="10" customWidth="1"/>
    <col min="14612" max="14612" width="4.7109375" style="10" customWidth="1"/>
    <col min="14613" max="14614" width="12.7109375" style="10" customWidth="1"/>
    <col min="14615" max="14615" width="13.7109375" style="10" customWidth="1"/>
    <col min="14616" max="14616" width="2.28515625" style="10" bestFit="1" customWidth="1"/>
    <col min="14617" max="14617" width="18.7109375" style="10" customWidth="1"/>
    <col min="14618" max="14618" width="6.85546875" style="10" bestFit="1" customWidth="1"/>
    <col min="14619" max="14848" width="8.85546875" style="10"/>
    <col min="14849" max="14849" width="11" style="10" customWidth="1"/>
    <col min="14850" max="14850" width="50.7109375" style="10" bestFit="1" customWidth="1"/>
    <col min="14851" max="14853" width="11.28515625" style="10" customWidth="1"/>
    <col min="14854" max="14854" width="15.28515625" style="10" customWidth="1"/>
    <col min="14855" max="14867" width="15.7109375" style="10" customWidth="1"/>
    <col min="14868" max="14868" width="4.7109375" style="10" customWidth="1"/>
    <col min="14869" max="14870" width="12.7109375" style="10" customWidth="1"/>
    <col min="14871" max="14871" width="13.7109375" style="10" customWidth="1"/>
    <col min="14872" max="14872" width="2.28515625" style="10" bestFit="1" customWidth="1"/>
    <col min="14873" max="14873" width="18.7109375" style="10" customWidth="1"/>
    <col min="14874" max="14874" width="6.85546875" style="10" bestFit="1" customWidth="1"/>
    <col min="14875" max="15104" width="8.85546875" style="10"/>
    <col min="15105" max="15105" width="11" style="10" customWidth="1"/>
    <col min="15106" max="15106" width="50.7109375" style="10" bestFit="1" customWidth="1"/>
    <col min="15107" max="15109" width="11.28515625" style="10" customWidth="1"/>
    <col min="15110" max="15110" width="15.28515625" style="10" customWidth="1"/>
    <col min="15111" max="15123" width="15.7109375" style="10" customWidth="1"/>
    <col min="15124" max="15124" width="4.7109375" style="10" customWidth="1"/>
    <col min="15125" max="15126" width="12.7109375" style="10" customWidth="1"/>
    <col min="15127" max="15127" width="13.7109375" style="10" customWidth="1"/>
    <col min="15128" max="15128" width="2.28515625" style="10" bestFit="1" customWidth="1"/>
    <col min="15129" max="15129" width="18.7109375" style="10" customWidth="1"/>
    <col min="15130" max="15130" width="6.85546875" style="10" bestFit="1" customWidth="1"/>
    <col min="15131" max="15360" width="8.85546875" style="10"/>
    <col min="15361" max="15361" width="11" style="10" customWidth="1"/>
    <col min="15362" max="15362" width="50.7109375" style="10" bestFit="1" customWidth="1"/>
    <col min="15363" max="15365" width="11.28515625" style="10" customWidth="1"/>
    <col min="15366" max="15366" width="15.28515625" style="10" customWidth="1"/>
    <col min="15367" max="15379" width="15.7109375" style="10" customWidth="1"/>
    <col min="15380" max="15380" width="4.7109375" style="10" customWidth="1"/>
    <col min="15381" max="15382" width="12.7109375" style="10" customWidth="1"/>
    <col min="15383" max="15383" width="13.7109375" style="10" customWidth="1"/>
    <col min="15384" max="15384" width="2.28515625" style="10" bestFit="1" customWidth="1"/>
    <col min="15385" max="15385" width="18.7109375" style="10" customWidth="1"/>
    <col min="15386" max="15386" width="6.85546875" style="10" bestFit="1" customWidth="1"/>
    <col min="15387" max="15616" width="8.85546875" style="10"/>
    <col min="15617" max="15617" width="11" style="10" customWidth="1"/>
    <col min="15618" max="15618" width="50.7109375" style="10" bestFit="1" customWidth="1"/>
    <col min="15619" max="15621" width="11.28515625" style="10" customWidth="1"/>
    <col min="15622" max="15622" width="15.28515625" style="10" customWidth="1"/>
    <col min="15623" max="15635" width="15.7109375" style="10" customWidth="1"/>
    <col min="15636" max="15636" width="4.7109375" style="10" customWidth="1"/>
    <col min="15637" max="15638" width="12.7109375" style="10" customWidth="1"/>
    <col min="15639" max="15639" width="13.7109375" style="10" customWidth="1"/>
    <col min="15640" max="15640" width="2.28515625" style="10" bestFit="1" customWidth="1"/>
    <col min="15641" max="15641" width="18.7109375" style="10" customWidth="1"/>
    <col min="15642" max="15642" width="6.85546875" style="10" bestFit="1" customWidth="1"/>
    <col min="15643" max="15872" width="8.85546875" style="10"/>
    <col min="15873" max="15873" width="11" style="10" customWidth="1"/>
    <col min="15874" max="15874" width="50.7109375" style="10" bestFit="1" customWidth="1"/>
    <col min="15875" max="15877" width="11.28515625" style="10" customWidth="1"/>
    <col min="15878" max="15878" width="15.28515625" style="10" customWidth="1"/>
    <col min="15879" max="15891" width="15.7109375" style="10" customWidth="1"/>
    <col min="15892" max="15892" width="4.7109375" style="10" customWidth="1"/>
    <col min="15893" max="15894" width="12.7109375" style="10" customWidth="1"/>
    <col min="15895" max="15895" width="13.7109375" style="10" customWidth="1"/>
    <col min="15896" max="15896" width="2.28515625" style="10" bestFit="1" customWidth="1"/>
    <col min="15897" max="15897" width="18.7109375" style="10" customWidth="1"/>
    <col min="15898" max="15898" width="6.85546875" style="10" bestFit="1" customWidth="1"/>
    <col min="15899" max="16128" width="8.85546875" style="10"/>
    <col min="16129" max="16129" width="11" style="10" customWidth="1"/>
    <col min="16130" max="16130" width="50.7109375" style="10" bestFit="1" customWidth="1"/>
    <col min="16131" max="16133" width="11.28515625" style="10" customWidth="1"/>
    <col min="16134" max="16134" width="15.28515625" style="10" customWidth="1"/>
    <col min="16135" max="16147" width="15.7109375" style="10" customWidth="1"/>
    <col min="16148" max="16148" width="4.7109375" style="10" customWidth="1"/>
    <col min="16149" max="16150" width="12.7109375" style="10" customWidth="1"/>
    <col min="16151" max="16151" width="13.7109375" style="10" customWidth="1"/>
    <col min="16152" max="16152" width="2.28515625" style="10" bestFit="1" customWidth="1"/>
    <col min="16153" max="16153" width="18.7109375" style="10" customWidth="1"/>
    <col min="16154" max="16154" width="6.85546875" style="10" bestFit="1" customWidth="1"/>
    <col min="16155" max="16384" width="8.85546875" style="10"/>
  </cols>
  <sheetData>
    <row r="1" spans="1:26" ht="15.75" thickBot="1">
      <c r="A1" s="1"/>
      <c r="B1" s="2"/>
      <c r="C1" s="3"/>
      <c r="D1" s="3"/>
      <c r="E1" s="3"/>
      <c r="F1" s="4"/>
      <c r="G1" s="5" t="s">
        <v>0</v>
      </c>
      <c r="H1" s="6"/>
      <c r="I1" s="6"/>
      <c r="J1" s="6"/>
      <c r="K1" s="6"/>
      <c r="L1" s="6"/>
      <c r="M1" s="6"/>
      <c r="N1" s="7"/>
      <c r="O1" s="8"/>
      <c r="P1" s="8"/>
      <c r="Q1" s="8"/>
      <c r="R1" s="8"/>
      <c r="S1" s="9"/>
      <c r="U1" s="304" t="s">
        <v>1</v>
      </c>
      <c r="V1" s="304"/>
      <c r="W1" s="304"/>
      <c r="Z1" s="11">
        <f>SUM(Z4:Z286)</f>
        <v>0</v>
      </c>
    </row>
    <row r="2" spans="1:26" ht="14.25" thickBot="1">
      <c r="A2" s="12"/>
      <c r="B2" s="2"/>
      <c r="C2" s="3"/>
      <c r="D2" s="3"/>
      <c r="E2" s="3"/>
      <c r="F2" s="4"/>
      <c r="G2" s="13" t="s">
        <v>2</v>
      </c>
      <c r="H2" s="14" t="s">
        <v>3</v>
      </c>
      <c r="I2" s="14" t="s">
        <v>4</v>
      </c>
      <c r="J2" s="14" t="s">
        <v>4</v>
      </c>
      <c r="K2" s="14" t="s">
        <v>4</v>
      </c>
      <c r="L2" s="14" t="s">
        <v>5</v>
      </c>
      <c r="M2" s="14" t="s">
        <v>6</v>
      </c>
      <c r="N2" s="14" t="s">
        <v>7</v>
      </c>
      <c r="O2" s="14" t="s">
        <v>7</v>
      </c>
      <c r="P2" s="14" t="s">
        <v>7</v>
      </c>
      <c r="Q2" s="15" t="s">
        <v>7</v>
      </c>
      <c r="R2" s="15" t="s">
        <v>8</v>
      </c>
      <c r="S2" s="16" t="s">
        <v>9</v>
      </c>
      <c r="U2" s="17" t="s">
        <v>9</v>
      </c>
      <c r="V2" s="18" t="s">
        <v>9</v>
      </c>
      <c r="W2" s="19" t="s">
        <v>10</v>
      </c>
      <c r="Z2" s="11"/>
    </row>
    <row r="3" spans="1:26" ht="15.75" thickBot="1">
      <c r="A3" s="304" t="s">
        <v>11</v>
      </c>
      <c r="B3" s="304"/>
      <c r="C3" s="3"/>
      <c r="D3" s="20" t="s">
        <v>12</v>
      </c>
      <c r="E3" s="21">
        <v>12</v>
      </c>
      <c r="F3" s="4"/>
      <c r="G3" s="22" t="s">
        <v>13</v>
      </c>
      <c r="H3" s="23" t="s">
        <v>14</v>
      </c>
      <c r="I3" s="23" t="s">
        <v>2</v>
      </c>
      <c r="J3" s="23" t="s">
        <v>2</v>
      </c>
      <c r="K3" s="23" t="s">
        <v>15</v>
      </c>
      <c r="L3" s="23" t="s">
        <v>16</v>
      </c>
      <c r="M3" s="23" t="s">
        <v>2</v>
      </c>
      <c r="N3" s="23" t="s">
        <v>17</v>
      </c>
      <c r="O3" s="23" t="s">
        <v>18</v>
      </c>
      <c r="P3" s="23" t="s">
        <v>19</v>
      </c>
      <c r="Q3" s="24" t="s">
        <v>20</v>
      </c>
      <c r="R3" s="24" t="s">
        <v>21</v>
      </c>
      <c r="S3" s="25" t="s">
        <v>13</v>
      </c>
      <c r="U3" s="17" t="s">
        <v>22</v>
      </c>
      <c r="V3" s="18" t="s">
        <v>22</v>
      </c>
      <c r="W3" s="26" t="s">
        <v>9</v>
      </c>
      <c r="Z3" s="11"/>
    </row>
    <row r="4" spans="1:26">
      <c r="A4" s="27" t="s">
        <v>23</v>
      </c>
      <c r="B4" s="28" t="s">
        <v>24</v>
      </c>
      <c r="C4" s="3"/>
      <c r="D4" s="3"/>
      <c r="E4" s="3"/>
      <c r="F4" s="4"/>
      <c r="G4" s="29" t="s">
        <v>4</v>
      </c>
      <c r="H4" s="23" t="s">
        <v>25</v>
      </c>
      <c r="I4" s="23" t="s">
        <v>13</v>
      </c>
      <c r="J4" s="23" t="s">
        <v>13</v>
      </c>
      <c r="K4" s="23" t="s">
        <v>26</v>
      </c>
      <c r="L4" s="23" t="s">
        <v>27</v>
      </c>
      <c r="M4" s="23" t="s">
        <v>13</v>
      </c>
      <c r="N4" s="23"/>
      <c r="O4" s="23" t="s">
        <v>28</v>
      </c>
      <c r="P4" s="23" t="s">
        <v>28</v>
      </c>
      <c r="Q4" s="24" t="s">
        <v>29</v>
      </c>
      <c r="R4" s="24" t="s">
        <v>29</v>
      </c>
      <c r="S4" s="25" t="s">
        <v>4</v>
      </c>
      <c r="U4" s="17" t="s">
        <v>30</v>
      </c>
      <c r="V4" s="18" t="s">
        <v>31</v>
      </c>
      <c r="W4" s="26" t="s">
        <v>22</v>
      </c>
      <c r="Z4" s="11"/>
    </row>
    <row r="5" spans="1:26" ht="14.25" thickBot="1">
      <c r="A5" s="30" t="s">
        <v>32</v>
      </c>
      <c r="B5" s="31" t="s">
        <v>33</v>
      </c>
      <c r="C5" s="3"/>
      <c r="D5" s="3" t="s">
        <v>34</v>
      </c>
      <c r="E5" s="3">
        <v>17</v>
      </c>
      <c r="F5" s="4"/>
      <c r="G5" s="32"/>
      <c r="H5" s="23" t="s">
        <v>35</v>
      </c>
      <c r="I5" s="23" t="s">
        <v>36</v>
      </c>
      <c r="J5" s="23" t="s">
        <v>37</v>
      </c>
      <c r="K5" s="23" t="s">
        <v>29</v>
      </c>
      <c r="L5" s="23" t="s">
        <v>29</v>
      </c>
      <c r="M5" s="23"/>
      <c r="N5" s="23"/>
      <c r="O5" s="23"/>
      <c r="P5" s="23"/>
      <c r="Q5" s="24"/>
      <c r="R5" s="24"/>
      <c r="S5" s="25"/>
      <c r="U5" s="17" t="s">
        <v>38</v>
      </c>
      <c r="V5" s="18" t="s">
        <v>39</v>
      </c>
      <c r="W5" s="26" t="s">
        <v>31</v>
      </c>
      <c r="Z5" s="11"/>
    </row>
    <row r="6" spans="1:26" ht="14.25" thickBot="1">
      <c r="A6" s="30" t="s">
        <v>40</v>
      </c>
      <c r="B6" s="31">
        <v>40908</v>
      </c>
      <c r="C6" s="3"/>
      <c r="D6" s="3"/>
      <c r="E6" s="3"/>
      <c r="F6" s="4"/>
      <c r="G6" s="32"/>
      <c r="H6" s="23" t="s">
        <v>41</v>
      </c>
      <c r="I6" s="23"/>
      <c r="J6" s="23"/>
      <c r="K6" s="23"/>
      <c r="L6" s="23"/>
      <c r="M6" s="23"/>
      <c r="N6" s="23"/>
      <c r="O6" s="23"/>
      <c r="P6" s="23"/>
      <c r="Q6" s="24"/>
      <c r="R6" s="24"/>
      <c r="S6" s="25"/>
      <c r="U6" s="33" t="s">
        <v>42</v>
      </c>
      <c r="V6" s="34"/>
      <c r="W6" s="35" t="s">
        <v>43</v>
      </c>
      <c r="Z6" s="11"/>
    </row>
    <row r="7" spans="1:26" ht="15">
      <c r="A7" s="304" t="s">
        <v>44</v>
      </c>
      <c r="B7" s="304"/>
      <c r="C7" s="36" t="s">
        <v>45</v>
      </c>
      <c r="D7" s="37" t="s">
        <v>46</v>
      </c>
      <c r="E7" s="37" t="s">
        <v>47</v>
      </c>
      <c r="F7" s="38" t="s">
        <v>48</v>
      </c>
      <c r="G7" s="39" t="s">
        <v>49</v>
      </c>
      <c r="H7" s="39" t="s">
        <v>49</v>
      </c>
      <c r="I7" s="40" t="s">
        <v>50</v>
      </c>
      <c r="J7" s="41" t="s">
        <v>51</v>
      </c>
      <c r="K7" s="41" t="s">
        <v>51</v>
      </c>
      <c r="L7" s="41"/>
      <c r="M7" s="41" t="s">
        <v>49</v>
      </c>
      <c r="N7" s="41" t="s">
        <v>49</v>
      </c>
      <c r="O7" s="41"/>
      <c r="P7" s="41"/>
      <c r="Q7" s="42"/>
      <c r="R7" s="42" t="s">
        <v>51</v>
      </c>
      <c r="S7" s="43"/>
      <c r="U7" s="304" t="s">
        <v>52</v>
      </c>
      <c r="V7" s="304"/>
      <c r="W7" s="304"/>
      <c r="Z7" s="11"/>
    </row>
    <row r="8" spans="1:26" ht="15.75" thickBot="1">
      <c r="A8" s="44" t="s">
        <v>53</v>
      </c>
      <c r="B8" s="45" t="s">
        <v>54</v>
      </c>
      <c r="C8" s="46" t="s">
        <v>55</v>
      </c>
      <c r="D8" s="304" t="s">
        <v>56</v>
      </c>
      <c r="E8" s="304"/>
      <c r="F8" s="47" t="s">
        <v>57</v>
      </c>
      <c r="G8" s="48" t="s">
        <v>58</v>
      </c>
      <c r="H8" s="48" t="s">
        <v>59</v>
      </c>
      <c r="I8" s="49" t="s">
        <v>60</v>
      </c>
      <c r="J8" s="50" t="s">
        <v>61</v>
      </c>
      <c r="K8" s="50" t="s">
        <v>61</v>
      </c>
      <c r="L8" s="50" t="s">
        <v>62</v>
      </c>
      <c r="M8" s="50" t="s">
        <v>63</v>
      </c>
      <c r="N8" s="50" t="s">
        <v>64</v>
      </c>
      <c r="O8" s="50"/>
      <c r="P8" s="50"/>
      <c r="Q8" s="51"/>
      <c r="R8" s="51" t="s">
        <v>61</v>
      </c>
      <c r="S8" s="52"/>
      <c r="U8" s="53">
        <f>G308</f>
        <v>0.38899999999999996</v>
      </c>
      <c r="V8" s="304" t="s">
        <v>65</v>
      </c>
      <c r="W8" s="304"/>
      <c r="Z8" s="11"/>
    </row>
    <row r="9" spans="1:26">
      <c r="F9" s="55"/>
      <c r="G9" s="1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56"/>
      <c r="V9" s="56"/>
      <c r="W9" s="57"/>
      <c r="Z9" s="11"/>
    </row>
    <row r="10" spans="1:26" ht="15">
      <c r="A10" s="304" t="s">
        <v>66</v>
      </c>
      <c r="B10" s="304"/>
      <c r="C10" s="304"/>
      <c r="D10" s="304"/>
      <c r="E10" s="304"/>
      <c r="F10" s="4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58"/>
      <c r="V10" s="58"/>
      <c r="W10" s="57"/>
      <c r="Z10" s="11"/>
    </row>
    <row r="11" spans="1:26">
      <c r="A11" s="57" t="s">
        <v>67</v>
      </c>
      <c r="B11" s="59" t="s">
        <v>617</v>
      </c>
      <c r="C11" s="3">
        <v>108000</v>
      </c>
      <c r="D11" s="3" t="s">
        <v>68</v>
      </c>
      <c r="E11" s="3" t="s">
        <v>69</v>
      </c>
      <c r="F11" s="60" t="s">
        <v>70</v>
      </c>
      <c r="G11" s="61">
        <v>0</v>
      </c>
      <c r="H11" s="62">
        <v>0</v>
      </c>
      <c r="I11" s="56"/>
      <c r="J11" s="56">
        <v>0</v>
      </c>
      <c r="K11" s="56">
        <v>0</v>
      </c>
      <c r="L11" s="56">
        <v>0</v>
      </c>
      <c r="M11" s="61">
        <f t="shared" ref="M11:M31" si="0">SUM(G11:L11)</f>
        <v>0</v>
      </c>
      <c r="N11" s="56">
        <v>0</v>
      </c>
      <c r="O11" s="56">
        <v>0</v>
      </c>
      <c r="P11" s="58">
        <v>0</v>
      </c>
      <c r="Q11" s="58">
        <v>0</v>
      </c>
      <c r="R11" s="58">
        <v>0</v>
      </c>
      <c r="S11" s="61">
        <f>SUM(M11:R11)</f>
        <v>0</v>
      </c>
      <c r="T11" s="58"/>
      <c r="U11" s="63">
        <f t="shared" ref="U11:U31" si="1">IF(S11&gt;0,S11*$G$308,0)</f>
        <v>0</v>
      </c>
      <c r="V11" s="56">
        <f t="shared" ref="V11:V31" si="2">IF(S11&lt;0,-S11*$G$308,0)</f>
        <v>0</v>
      </c>
      <c r="W11" s="64">
        <f t="shared" ref="W11:W31" si="3">U11-V11</f>
        <v>0</v>
      </c>
      <c r="Z11" s="11">
        <f t="shared" ref="Z11:Z31" si="4">SUM(M11:R11)-S11</f>
        <v>0</v>
      </c>
    </row>
    <row r="12" spans="1:26">
      <c r="A12" s="57" t="s">
        <v>71</v>
      </c>
      <c r="B12" s="59" t="s">
        <v>618</v>
      </c>
      <c r="C12" s="3">
        <v>143000</v>
      </c>
      <c r="D12" s="3" t="s">
        <v>68</v>
      </c>
      <c r="E12" s="3" t="s">
        <v>72</v>
      </c>
      <c r="F12" s="4"/>
      <c r="G12" s="61">
        <v>453499</v>
      </c>
      <c r="H12" s="62">
        <v>0</v>
      </c>
      <c r="I12" s="56"/>
      <c r="J12" s="62">
        <v>0</v>
      </c>
      <c r="K12" s="56">
        <v>0</v>
      </c>
      <c r="L12" s="56">
        <v>0</v>
      </c>
      <c r="M12" s="61">
        <f t="shared" si="0"/>
        <v>453499</v>
      </c>
      <c r="N12" s="56">
        <v>148568</v>
      </c>
      <c r="O12" s="56">
        <v>0</v>
      </c>
      <c r="P12" s="58">
        <v>0</v>
      </c>
      <c r="Q12" s="58">
        <v>0</v>
      </c>
      <c r="R12" s="58">
        <v>0</v>
      </c>
      <c r="S12" s="61">
        <f t="shared" ref="S12:S27" si="5">SUM(M12:R12)</f>
        <v>602067</v>
      </c>
      <c r="T12" s="56"/>
      <c r="U12" s="63">
        <f t="shared" si="1"/>
        <v>234204.06299999997</v>
      </c>
      <c r="V12" s="56">
        <f t="shared" si="2"/>
        <v>0</v>
      </c>
      <c r="W12" s="64">
        <f t="shared" si="3"/>
        <v>234204.06299999997</v>
      </c>
      <c r="Z12" s="11">
        <f t="shared" si="4"/>
        <v>0</v>
      </c>
    </row>
    <row r="13" spans="1:26">
      <c r="A13" s="57" t="s">
        <v>73</v>
      </c>
      <c r="B13" s="59" t="s">
        <v>619</v>
      </c>
      <c r="C13" s="65">
        <v>143000</v>
      </c>
      <c r="D13" s="3" t="s">
        <v>68</v>
      </c>
      <c r="E13" s="65" t="s">
        <v>72</v>
      </c>
      <c r="F13" s="66"/>
      <c r="G13" s="61">
        <v>0</v>
      </c>
      <c r="H13" s="62">
        <v>0</v>
      </c>
      <c r="I13" s="56"/>
      <c r="J13" s="62">
        <v>0</v>
      </c>
      <c r="K13" s="56">
        <v>0</v>
      </c>
      <c r="L13" s="56">
        <v>0</v>
      </c>
      <c r="M13" s="61">
        <f t="shared" si="0"/>
        <v>0</v>
      </c>
      <c r="N13" s="56">
        <v>0</v>
      </c>
      <c r="O13" s="56">
        <v>0</v>
      </c>
      <c r="P13" s="58">
        <v>0</v>
      </c>
      <c r="Q13" s="58">
        <v>0</v>
      </c>
      <c r="R13" s="58">
        <v>0</v>
      </c>
      <c r="S13" s="61">
        <f t="shared" si="5"/>
        <v>0</v>
      </c>
      <c r="T13" s="56"/>
      <c r="U13" s="63">
        <f t="shared" si="1"/>
        <v>0</v>
      </c>
      <c r="V13" s="56">
        <f t="shared" si="2"/>
        <v>0</v>
      </c>
      <c r="W13" s="64">
        <f t="shared" si="3"/>
        <v>0</v>
      </c>
      <c r="Z13" s="11">
        <f t="shared" si="4"/>
        <v>0</v>
      </c>
    </row>
    <row r="14" spans="1:26">
      <c r="A14" s="57" t="s">
        <v>74</v>
      </c>
      <c r="B14" s="59" t="s">
        <v>620</v>
      </c>
      <c r="C14" s="65">
        <v>143000</v>
      </c>
      <c r="D14" s="3" t="s">
        <v>68</v>
      </c>
      <c r="E14" s="65" t="s">
        <v>72</v>
      </c>
      <c r="F14" s="66"/>
      <c r="G14" s="61">
        <v>0</v>
      </c>
      <c r="H14" s="56">
        <v>0</v>
      </c>
      <c r="I14" s="56"/>
      <c r="J14" s="56">
        <v>0</v>
      </c>
      <c r="K14" s="56">
        <v>0</v>
      </c>
      <c r="L14" s="56">
        <v>0</v>
      </c>
      <c r="M14" s="61">
        <f t="shared" si="0"/>
        <v>0</v>
      </c>
      <c r="N14" s="56">
        <v>0</v>
      </c>
      <c r="O14" s="56">
        <v>0</v>
      </c>
      <c r="P14" s="58">
        <v>0</v>
      </c>
      <c r="Q14" s="58">
        <v>0</v>
      </c>
      <c r="R14" s="58">
        <v>0</v>
      </c>
      <c r="S14" s="61">
        <f t="shared" si="5"/>
        <v>0</v>
      </c>
      <c r="T14" s="56"/>
      <c r="U14" s="63">
        <f t="shared" si="1"/>
        <v>0</v>
      </c>
      <c r="V14" s="56">
        <f t="shared" si="2"/>
        <v>0</v>
      </c>
      <c r="W14" s="64">
        <f t="shared" si="3"/>
        <v>0</v>
      </c>
      <c r="Z14" s="11">
        <f t="shared" si="4"/>
        <v>0</v>
      </c>
    </row>
    <row r="15" spans="1:26">
      <c r="A15" s="57" t="s">
        <v>75</v>
      </c>
      <c r="B15" s="59" t="s">
        <v>621</v>
      </c>
      <c r="C15" s="3">
        <v>174100</v>
      </c>
      <c r="D15" s="3" t="s">
        <v>76</v>
      </c>
      <c r="E15" s="3" t="s">
        <v>77</v>
      </c>
      <c r="F15" s="4"/>
      <c r="G15" s="61">
        <v>27506.732633333326</v>
      </c>
      <c r="H15" s="56">
        <v>0</v>
      </c>
      <c r="I15" s="56"/>
      <c r="J15" s="56">
        <v>0</v>
      </c>
      <c r="K15" s="56">
        <v>0</v>
      </c>
      <c r="L15" s="56">
        <v>0</v>
      </c>
      <c r="M15" s="61">
        <f t="shared" si="0"/>
        <v>27506.732633333326</v>
      </c>
      <c r="N15" s="56">
        <v>347.29166666666669</v>
      </c>
      <c r="O15" s="56">
        <v>0</v>
      </c>
      <c r="P15" s="58">
        <v>0</v>
      </c>
      <c r="Q15" s="58">
        <v>0</v>
      </c>
      <c r="R15" s="58">
        <v>0</v>
      </c>
      <c r="S15" s="61">
        <f t="shared" si="5"/>
        <v>27854.024299999994</v>
      </c>
      <c r="T15" s="58"/>
      <c r="U15" s="63">
        <f t="shared" si="1"/>
        <v>10835.215452699997</v>
      </c>
      <c r="V15" s="56">
        <f t="shared" si="2"/>
        <v>0</v>
      </c>
      <c r="W15" s="64">
        <f t="shared" si="3"/>
        <v>10835.215452699997</v>
      </c>
      <c r="Z15" s="11">
        <f t="shared" si="4"/>
        <v>0</v>
      </c>
    </row>
    <row r="16" spans="1:26">
      <c r="A16" s="57" t="s">
        <v>78</v>
      </c>
      <c r="B16" s="59" t="s">
        <v>622</v>
      </c>
      <c r="C16" s="65">
        <v>174100</v>
      </c>
      <c r="D16" s="3" t="s">
        <v>76</v>
      </c>
      <c r="E16" s="65" t="s">
        <v>77</v>
      </c>
      <c r="F16" s="66"/>
      <c r="G16" s="61">
        <v>-38592</v>
      </c>
      <c r="H16" s="56">
        <v>0</v>
      </c>
      <c r="I16" s="56"/>
      <c r="J16" s="56">
        <v>0</v>
      </c>
      <c r="K16" s="56">
        <v>0</v>
      </c>
      <c r="L16" s="56">
        <v>0</v>
      </c>
      <c r="M16" s="61">
        <f t="shared" si="0"/>
        <v>-38592</v>
      </c>
      <c r="N16" s="56">
        <v>0</v>
      </c>
      <c r="O16" s="56">
        <v>0</v>
      </c>
      <c r="P16" s="58">
        <v>0</v>
      </c>
      <c r="Q16" s="58">
        <v>0</v>
      </c>
      <c r="R16" s="58">
        <v>0</v>
      </c>
      <c r="S16" s="61">
        <f t="shared" si="5"/>
        <v>-38592</v>
      </c>
      <c r="T16" s="56"/>
      <c r="U16" s="63">
        <f t="shared" si="1"/>
        <v>0</v>
      </c>
      <c r="V16" s="56">
        <f t="shared" si="2"/>
        <v>15012.287999999999</v>
      </c>
      <c r="W16" s="64">
        <f t="shared" si="3"/>
        <v>-15012.287999999999</v>
      </c>
      <c r="Z16" s="11">
        <f t="shared" si="4"/>
        <v>0</v>
      </c>
    </row>
    <row r="17" spans="1:26">
      <c r="A17" s="57" t="s">
        <v>79</v>
      </c>
      <c r="B17" s="59" t="s">
        <v>623</v>
      </c>
      <c r="C17" s="3">
        <v>210240</v>
      </c>
      <c r="D17" s="3" t="s">
        <v>68</v>
      </c>
      <c r="E17" s="3" t="s">
        <v>72</v>
      </c>
      <c r="F17" s="66"/>
      <c r="G17" s="61">
        <v>0</v>
      </c>
      <c r="H17" s="56">
        <v>0</v>
      </c>
      <c r="I17" s="56"/>
      <c r="J17" s="56">
        <v>0</v>
      </c>
      <c r="K17" s="56">
        <v>0</v>
      </c>
      <c r="L17" s="56">
        <v>0</v>
      </c>
      <c r="M17" s="61">
        <f t="shared" si="0"/>
        <v>0</v>
      </c>
      <c r="N17" s="56">
        <v>0</v>
      </c>
      <c r="O17" s="56">
        <v>0</v>
      </c>
      <c r="P17" s="58">
        <v>0</v>
      </c>
      <c r="Q17" s="58">
        <v>0</v>
      </c>
      <c r="R17" s="58">
        <v>0</v>
      </c>
      <c r="S17" s="61">
        <f t="shared" si="5"/>
        <v>0</v>
      </c>
      <c r="T17" s="58"/>
      <c r="U17" s="63">
        <f t="shared" si="1"/>
        <v>0</v>
      </c>
      <c r="V17" s="56">
        <f t="shared" si="2"/>
        <v>0</v>
      </c>
      <c r="W17" s="64">
        <f t="shared" si="3"/>
        <v>0</v>
      </c>
      <c r="Z17" s="11">
        <f t="shared" si="4"/>
        <v>0</v>
      </c>
    </row>
    <row r="18" spans="1:26">
      <c r="A18" s="57" t="s">
        <v>80</v>
      </c>
      <c r="B18" s="59" t="s">
        <v>624</v>
      </c>
      <c r="C18" s="3">
        <v>238010</v>
      </c>
      <c r="D18" s="3" t="s">
        <v>68</v>
      </c>
      <c r="E18" s="3" t="s">
        <v>81</v>
      </c>
      <c r="F18" s="66"/>
      <c r="G18" s="61">
        <v>-45659</v>
      </c>
      <c r="H18" s="56">
        <v>0</v>
      </c>
      <c r="I18" s="56"/>
      <c r="J18" s="56">
        <v>0</v>
      </c>
      <c r="K18" s="56">
        <v>0</v>
      </c>
      <c r="L18" s="56">
        <v>0</v>
      </c>
      <c r="M18" s="61">
        <f t="shared" si="0"/>
        <v>-45659</v>
      </c>
      <c r="N18" s="56">
        <v>0</v>
      </c>
      <c r="O18" s="56">
        <v>0</v>
      </c>
      <c r="P18" s="58">
        <v>0</v>
      </c>
      <c r="Q18" s="58">
        <v>0</v>
      </c>
      <c r="R18" s="58">
        <v>0</v>
      </c>
      <c r="S18" s="61">
        <f t="shared" si="5"/>
        <v>-45659</v>
      </c>
      <c r="T18" s="58"/>
      <c r="U18" s="63">
        <f t="shared" si="1"/>
        <v>0</v>
      </c>
      <c r="V18" s="56">
        <f t="shared" si="2"/>
        <v>17761.350999999999</v>
      </c>
      <c r="W18" s="64">
        <f t="shared" si="3"/>
        <v>-17761.350999999999</v>
      </c>
      <c r="Z18" s="11">
        <f t="shared" si="4"/>
        <v>0</v>
      </c>
    </row>
    <row r="19" spans="1:26">
      <c r="A19" s="57" t="s">
        <v>82</v>
      </c>
      <c r="B19" s="59" t="s">
        <v>625</v>
      </c>
      <c r="C19" s="65">
        <v>238010</v>
      </c>
      <c r="D19" s="65" t="s">
        <v>68</v>
      </c>
      <c r="E19" s="65" t="s">
        <v>81</v>
      </c>
      <c r="F19" s="66"/>
      <c r="G19" s="61">
        <v>37050</v>
      </c>
      <c r="H19" s="56">
        <v>0</v>
      </c>
      <c r="I19" s="56"/>
      <c r="J19" s="56">
        <v>0</v>
      </c>
      <c r="K19" s="56">
        <v>0</v>
      </c>
      <c r="L19" s="56">
        <v>0</v>
      </c>
      <c r="M19" s="61">
        <f t="shared" si="0"/>
        <v>37050</v>
      </c>
      <c r="N19" s="56">
        <v>0</v>
      </c>
      <c r="O19" s="56">
        <v>0</v>
      </c>
      <c r="P19" s="58">
        <v>0</v>
      </c>
      <c r="Q19" s="58">
        <v>0</v>
      </c>
      <c r="R19" s="58">
        <v>0</v>
      </c>
      <c r="S19" s="61">
        <f t="shared" si="5"/>
        <v>37050</v>
      </c>
      <c r="T19" s="56"/>
      <c r="U19" s="63">
        <f t="shared" si="1"/>
        <v>14412.449999999999</v>
      </c>
      <c r="V19" s="56">
        <f t="shared" si="2"/>
        <v>0</v>
      </c>
      <c r="W19" s="64">
        <f t="shared" si="3"/>
        <v>14412.449999999999</v>
      </c>
      <c r="Z19" s="11">
        <f t="shared" si="4"/>
        <v>0</v>
      </c>
    </row>
    <row r="20" spans="1:26">
      <c r="A20" s="57" t="s">
        <v>83</v>
      </c>
      <c r="B20" s="59" t="s">
        <v>626</v>
      </c>
      <c r="C20" s="65">
        <v>238020</v>
      </c>
      <c r="D20" s="65" t="s">
        <v>68</v>
      </c>
      <c r="E20" s="65" t="s">
        <v>81</v>
      </c>
      <c r="F20" s="66"/>
      <c r="G20" s="61">
        <v>8609</v>
      </c>
      <c r="H20" s="56">
        <v>0</v>
      </c>
      <c r="I20" s="56"/>
      <c r="J20" s="56">
        <v>0</v>
      </c>
      <c r="K20" s="56">
        <v>0</v>
      </c>
      <c r="L20" s="56">
        <v>0</v>
      </c>
      <c r="M20" s="61">
        <f t="shared" si="0"/>
        <v>8609</v>
      </c>
      <c r="N20" s="56">
        <v>0</v>
      </c>
      <c r="O20" s="56">
        <v>0</v>
      </c>
      <c r="P20" s="58">
        <v>0</v>
      </c>
      <c r="Q20" s="58">
        <v>0</v>
      </c>
      <c r="R20" s="58">
        <v>0</v>
      </c>
      <c r="S20" s="61">
        <f t="shared" si="5"/>
        <v>8609</v>
      </c>
      <c r="T20" s="56"/>
      <c r="U20" s="63">
        <f t="shared" si="1"/>
        <v>3348.9009999999998</v>
      </c>
      <c r="V20" s="56">
        <f t="shared" si="2"/>
        <v>0</v>
      </c>
      <c r="W20" s="64">
        <f t="shared" si="3"/>
        <v>3348.9009999999998</v>
      </c>
      <c r="Z20" s="11">
        <f t="shared" si="4"/>
        <v>0</v>
      </c>
    </row>
    <row r="21" spans="1:26">
      <c r="A21" s="57" t="s">
        <v>84</v>
      </c>
      <c r="B21" s="59" t="s">
        <v>627</v>
      </c>
      <c r="C21" s="65">
        <v>210240</v>
      </c>
      <c r="D21" s="65" t="s">
        <v>68</v>
      </c>
      <c r="E21" s="65" t="s">
        <v>72</v>
      </c>
      <c r="F21" s="66"/>
      <c r="G21" s="61">
        <v>0</v>
      </c>
      <c r="H21" s="56">
        <v>0</v>
      </c>
      <c r="I21" s="56"/>
      <c r="J21" s="56">
        <v>0</v>
      </c>
      <c r="K21" s="56">
        <v>0</v>
      </c>
      <c r="L21" s="56">
        <v>0</v>
      </c>
      <c r="M21" s="61">
        <f t="shared" si="0"/>
        <v>0</v>
      </c>
      <c r="N21" s="56">
        <v>0</v>
      </c>
      <c r="O21" s="56">
        <v>0</v>
      </c>
      <c r="P21" s="58">
        <v>0</v>
      </c>
      <c r="Q21" s="58">
        <v>0</v>
      </c>
      <c r="R21" s="58">
        <v>0</v>
      </c>
      <c r="S21" s="61">
        <f t="shared" si="5"/>
        <v>0</v>
      </c>
      <c r="T21" s="56"/>
      <c r="U21" s="63">
        <f t="shared" si="1"/>
        <v>0</v>
      </c>
      <c r="V21" s="56">
        <f t="shared" si="2"/>
        <v>0</v>
      </c>
      <c r="W21" s="64">
        <f t="shared" si="3"/>
        <v>0</v>
      </c>
      <c r="Z21" s="11">
        <f t="shared" si="4"/>
        <v>0</v>
      </c>
    </row>
    <row r="22" spans="1:26">
      <c r="A22" s="57" t="s">
        <v>85</v>
      </c>
      <c r="B22" s="59" t="s">
        <v>628</v>
      </c>
      <c r="C22" s="65">
        <v>210240</v>
      </c>
      <c r="D22" s="65" t="s">
        <v>68</v>
      </c>
      <c r="E22" s="65" t="s">
        <v>72</v>
      </c>
      <c r="F22" s="66"/>
      <c r="G22" s="61">
        <v>0</v>
      </c>
      <c r="H22" s="56">
        <v>0</v>
      </c>
      <c r="I22" s="56"/>
      <c r="J22" s="56">
        <v>0</v>
      </c>
      <c r="K22" s="56">
        <v>0</v>
      </c>
      <c r="L22" s="56">
        <v>0</v>
      </c>
      <c r="M22" s="61">
        <f t="shared" si="0"/>
        <v>0</v>
      </c>
      <c r="N22" s="56">
        <v>0</v>
      </c>
      <c r="O22" s="56">
        <v>0</v>
      </c>
      <c r="P22" s="58">
        <v>0</v>
      </c>
      <c r="Q22" s="58">
        <v>0</v>
      </c>
      <c r="R22" s="58">
        <v>0</v>
      </c>
      <c r="S22" s="61">
        <f t="shared" si="5"/>
        <v>0</v>
      </c>
      <c r="T22" s="56"/>
      <c r="U22" s="63">
        <f t="shared" si="1"/>
        <v>0</v>
      </c>
      <c r="V22" s="56">
        <f t="shared" si="2"/>
        <v>0</v>
      </c>
      <c r="W22" s="64">
        <f t="shared" si="3"/>
        <v>0</v>
      </c>
      <c r="Z22" s="11">
        <f t="shared" si="4"/>
        <v>0</v>
      </c>
    </row>
    <row r="23" spans="1:26">
      <c r="A23" s="57" t="s">
        <v>86</v>
      </c>
      <c r="B23" s="59" t="s">
        <v>87</v>
      </c>
      <c r="C23" s="65"/>
      <c r="D23" s="65" t="s">
        <v>76</v>
      </c>
      <c r="E23" s="65" t="s">
        <v>88</v>
      </c>
      <c r="F23" s="66"/>
      <c r="G23" s="61">
        <v>0</v>
      </c>
      <c r="H23" s="56">
        <v>0</v>
      </c>
      <c r="I23" s="56"/>
      <c r="J23" s="56">
        <v>0</v>
      </c>
      <c r="K23" s="56">
        <v>0</v>
      </c>
      <c r="L23" s="56">
        <v>0</v>
      </c>
      <c r="M23" s="61">
        <f t="shared" si="0"/>
        <v>0</v>
      </c>
      <c r="N23" s="56">
        <v>0</v>
      </c>
      <c r="O23" s="56">
        <v>0</v>
      </c>
      <c r="P23" s="58">
        <v>0</v>
      </c>
      <c r="Q23" s="58">
        <v>0</v>
      </c>
      <c r="R23" s="58">
        <v>0</v>
      </c>
      <c r="S23" s="61">
        <f t="shared" si="5"/>
        <v>0</v>
      </c>
      <c r="T23" s="56"/>
      <c r="U23" s="63">
        <f t="shared" si="1"/>
        <v>0</v>
      </c>
      <c r="V23" s="56">
        <f t="shared" si="2"/>
        <v>0</v>
      </c>
      <c r="W23" s="64">
        <f t="shared" si="3"/>
        <v>0</v>
      </c>
      <c r="Z23" s="11">
        <f t="shared" si="4"/>
        <v>0</v>
      </c>
    </row>
    <row r="24" spans="1:26">
      <c r="A24" s="57" t="s">
        <v>86</v>
      </c>
      <c r="B24" s="59" t="s">
        <v>89</v>
      </c>
      <c r="C24" s="65"/>
      <c r="D24" s="65" t="s">
        <v>68</v>
      </c>
      <c r="E24" s="65" t="s">
        <v>90</v>
      </c>
      <c r="F24" s="66"/>
      <c r="G24" s="61">
        <v>284263</v>
      </c>
      <c r="H24" s="56">
        <v>0</v>
      </c>
      <c r="I24" s="56"/>
      <c r="J24" s="56">
        <v>0</v>
      </c>
      <c r="K24" s="56">
        <v>0</v>
      </c>
      <c r="L24" s="56">
        <v>0</v>
      </c>
      <c r="M24" s="61">
        <f t="shared" si="0"/>
        <v>284263</v>
      </c>
      <c r="N24" s="56">
        <v>0</v>
      </c>
      <c r="O24" s="56">
        <v>0</v>
      </c>
      <c r="P24" s="58">
        <v>0</v>
      </c>
      <c r="Q24" s="58">
        <v>0</v>
      </c>
      <c r="R24" s="58">
        <v>0</v>
      </c>
      <c r="S24" s="61">
        <f t="shared" si="5"/>
        <v>284263</v>
      </c>
      <c r="T24" s="56"/>
      <c r="U24" s="63">
        <f t="shared" si="1"/>
        <v>110578.30699999999</v>
      </c>
      <c r="V24" s="56">
        <f t="shared" si="2"/>
        <v>0</v>
      </c>
      <c r="W24" s="64">
        <f t="shared" si="3"/>
        <v>110578.30699999999</v>
      </c>
      <c r="Z24" s="11">
        <f t="shared" si="4"/>
        <v>0</v>
      </c>
    </row>
    <row r="25" spans="1:26">
      <c r="A25" s="57" t="s">
        <v>86</v>
      </c>
      <c r="B25" s="59" t="s">
        <v>91</v>
      </c>
      <c r="C25" s="65"/>
      <c r="D25" s="65" t="s">
        <v>68</v>
      </c>
      <c r="E25" s="65" t="s">
        <v>88</v>
      </c>
      <c r="F25" s="66"/>
      <c r="G25" s="61">
        <v>0</v>
      </c>
      <c r="H25" s="56">
        <v>0</v>
      </c>
      <c r="I25" s="56"/>
      <c r="J25" s="56">
        <v>0</v>
      </c>
      <c r="K25" s="56">
        <v>0</v>
      </c>
      <c r="L25" s="56">
        <v>0</v>
      </c>
      <c r="M25" s="61">
        <f t="shared" si="0"/>
        <v>0</v>
      </c>
      <c r="N25" s="56">
        <v>0</v>
      </c>
      <c r="O25" s="56">
        <v>0</v>
      </c>
      <c r="P25" s="58">
        <v>0</v>
      </c>
      <c r="Q25" s="58">
        <v>0</v>
      </c>
      <c r="R25" s="58">
        <v>0</v>
      </c>
      <c r="S25" s="61">
        <f t="shared" si="5"/>
        <v>0</v>
      </c>
      <c r="T25" s="56"/>
      <c r="U25" s="63">
        <f t="shared" si="1"/>
        <v>0</v>
      </c>
      <c r="V25" s="56">
        <f t="shared" si="2"/>
        <v>0</v>
      </c>
      <c r="W25" s="64">
        <f t="shared" si="3"/>
        <v>0</v>
      </c>
      <c r="Z25" s="11">
        <f t="shared" si="4"/>
        <v>0</v>
      </c>
    </row>
    <row r="26" spans="1:26">
      <c r="A26" s="57" t="s">
        <v>86</v>
      </c>
      <c r="B26" s="59" t="s">
        <v>92</v>
      </c>
      <c r="C26" s="65"/>
      <c r="D26" s="65" t="s">
        <v>93</v>
      </c>
      <c r="E26" s="65" t="s">
        <v>90</v>
      </c>
      <c r="F26" s="66"/>
      <c r="G26" s="61">
        <v>-284263</v>
      </c>
      <c r="H26" s="56">
        <v>0</v>
      </c>
      <c r="I26" s="56"/>
      <c r="J26" s="56">
        <v>0</v>
      </c>
      <c r="K26" s="56">
        <v>0</v>
      </c>
      <c r="L26" s="56">
        <v>0</v>
      </c>
      <c r="M26" s="61">
        <f t="shared" si="0"/>
        <v>-284263</v>
      </c>
      <c r="N26" s="56">
        <v>0</v>
      </c>
      <c r="O26" s="56">
        <v>0</v>
      </c>
      <c r="P26" s="58">
        <v>0</v>
      </c>
      <c r="Q26" s="58">
        <v>0</v>
      </c>
      <c r="R26" s="58">
        <v>0</v>
      </c>
      <c r="S26" s="61">
        <f t="shared" si="5"/>
        <v>-284263</v>
      </c>
      <c r="T26" s="56"/>
      <c r="U26" s="63">
        <f t="shared" si="1"/>
        <v>0</v>
      </c>
      <c r="V26" s="56">
        <f t="shared" si="2"/>
        <v>110578.30699999999</v>
      </c>
      <c r="W26" s="64">
        <f t="shared" si="3"/>
        <v>-110578.30699999999</v>
      </c>
      <c r="Z26" s="11">
        <f t="shared" si="4"/>
        <v>0</v>
      </c>
    </row>
    <row r="27" spans="1:26">
      <c r="A27" s="57" t="s">
        <v>86</v>
      </c>
      <c r="B27" s="59" t="s">
        <v>94</v>
      </c>
      <c r="C27" s="65"/>
      <c r="D27" s="65" t="s">
        <v>76</v>
      </c>
      <c r="E27" s="65" t="s">
        <v>95</v>
      </c>
      <c r="F27" s="66"/>
      <c r="G27" s="56">
        <v>0</v>
      </c>
      <c r="H27" s="56">
        <v>0</v>
      </c>
      <c r="I27" s="56"/>
      <c r="J27" s="56">
        <v>0</v>
      </c>
      <c r="K27" s="56">
        <v>0</v>
      </c>
      <c r="L27" s="56">
        <v>0</v>
      </c>
      <c r="M27" s="61">
        <f t="shared" si="0"/>
        <v>0</v>
      </c>
      <c r="N27" s="56">
        <v>0</v>
      </c>
      <c r="O27" s="56">
        <v>0</v>
      </c>
      <c r="P27" s="58">
        <v>0</v>
      </c>
      <c r="Q27" s="58">
        <v>0</v>
      </c>
      <c r="R27" s="58">
        <v>0</v>
      </c>
      <c r="S27" s="67">
        <f t="shared" si="5"/>
        <v>0</v>
      </c>
      <c r="T27" s="56"/>
      <c r="U27" s="63">
        <f t="shared" si="1"/>
        <v>0</v>
      </c>
      <c r="V27" s="56">
        <f t="shared" si="2"/>
        <v>0</v>
      </c>
      <c r="W27" s="64">
        <f t="shared" si="3"/>
        <v>0</v>
      </c>
      <c r="Z27" s="11">
        <f t="shared" si="4"/>
        <v>0</v>
      </c>
    </row>
    <row r="28" spans="1:26">
      <c r="A28" s="57" t="s">
        <v>86</v>
      </c>
      <c r="B28" s="59" t="s">
        <v>96</v>
      </c>
      <c r="C28" s="65"/>
      <c r="D28" s="65"/>
      <c r="E28" s="65" t="s">
        <v>72</v>
      </c>
      <c r="F28" s="66"/>
      <c r="G28" s="56">
        <v>0</v>
      </c>
      <c r="H28" s="56">
        <v>0</v>
      </c>
      <c r="I28" s="56"/>
      <c r="J28" s="56">
        <v>0</v>
      </c>
      <c r="K28" s="56">
        <v>0</v>
      </c>
      <c r="L28" s="56">
        <v>0</v>
      </c>
      <c r="M28" s="61">
        <f t="shared" si="0"/>
        <v>0</v>
      </c>
      <c r="N28" s="56">
        <v>0</v>
      </c>
      <c r="O28" s="56">
        <v>0</v>
      </c>
      <c r="P28" s="58">
        <v>0</v>
      </c>
      <c r="Q28" s="58">
        <v>0</v>
      </c>
      <c r="R28" s="58">
        <v>0</v>
      </c>
      <c r="S28" s="61">
        <f>SUM(M28:R28)</f>
        <v>0</v>
      </c>
      <c r="T28" s="56"/>
      <c r="U28" s="63">
        <f t="shared" si="1"/>
        <v>0</v>
      </c>
      <c r="V28" s="56">
        <f t="shared" si="2"/>
        <v>0</v>
      </c>
      <c r="W28" s="64">
        <f t="shared" si="3"/>
        <v>0</v>
      </c>
      <c r="Z28" s="11">
        <f t="shared" si="4"/>
        <v>0</v>
      </c>
    </row>
    <row r="29" spans="1:26">
      <c r="A29" s="57" t="s">
        <v>86</v>
      </c>
      <c r="B29" s="59" t="s">
        <v>97</v>
      </c>
      <c r="C29" s="65"/>
      <c r="D29" s="65"/>
      <c r="E29" s="65" t="s">
        <v>95</v>
      </c>
      <c r="F29" s="66"/>
      <c r="G29" s="56">
        <v>0</v>
      </c>
      <c r="H29" s="56">
        <v>0</v>
      </c>
      <c r="I29" s="56"/>
      <c r="J29" s="56">
        <v>0</v>
      </c>
      <c r="K29" s="56">
        <v>0</v>
      </c>
      <c r="L29" s="56">
        <v>0</v>
      </c>
      <c r="M29" s="61">
        <f t="shared" si="0"/>
        <v>0</v>
      </c>
      <c r="N29" s="56">
        <v>0</v>
      </c>
      <c r="O29" s="56">
        <v>0</v>
      </c>
      <c r="P29" s="58">
        <v>0</v>
      </c>
      <c r="Q29" s="58">
        <v>0</v>
      </c>
      <c r="R29" s="58">
        <v>0</v>
      </c>
      <c r="S29" s="61">
        <f>SUM(M29:R29)</f>
        <v>0</v>
      </c>
      <c r="T29" s="56"/>
      <c r="U29" s="63">
        <f t="shared" si="1"/>
        <v>0</v>
      </c>
      <c r="V29" s="56">
        <f t="shared" si="2"/>
        <v>0</v>
      </c>
      <c r="W29" s="64">
        <f t="shared" si="3"/>
        <v>0</v>
      </c>
      <c r="Z29" s="11">
        <f t="shared" si="4"/>
        <v>0</v>
      </c>
    </row>
    <row r="30" spans="1:26">
      <c r="A30" s="57" t="s">
        <v>86</v>
      </c>
      <c r="B30" s="59" t="s">
        <v>98</v>
      </c>
      <c r="C30" s="65"/>
      <c r="D30" s="65"/>
      <c r="E30" s="65"/>
      <c r="F30" s="66"/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61">
        <f t="shared" si="0"/>
        <v>0</v>
      </c>
      <c r="N30" s="56">
        <v>0</v>
      </c>
      <c r="O30" s="56">
        <v>0</v>
      </c>
      <c r="P30" s="58">
        <v>0</v>
      </c>
      <c r="Q30" s="58">
        <v>0</v>
      </c>
      <c r="R30" s="58">
        <v>0</v>
      </c>
      <c r="S30" s="61">
        <f>SUM(M30:R30)</f>
        <v>0</v>
      </c>
      <c r="T30" s="56"/>
      <c r="U30" s="63">
        <f t="shared" si="1"/>
        <v>0</v>
      </c>
      <c r="V30" s="56">
        <f t="shared" si="2"/>
        <v>0</v>
      </c>
      <c r="W30" s="64">
        <f t="shared" si="3"/>
        <v>0</v>
      </c>
      <c r="Z30" s="11">
        <f t="shared" si="4"/>
        <v>0</v>
      </c>
    </row>
    <row r="31" spans="1:26">
      <c r="A31" s="57" t="s">
        <v>86</v>
      </c>
      <c r="B31" s="59" t="s">
        <v>98</v>
      </c>
      <c r="C31" s="65"/>
      <c r="D31" s="65"/>
      <c r="E31" s="65"/>
      <c r="F31" s="66"/>
      <c r="G31" s="56">
        <v>0</v>
      </c>
      <c r="H31" s="56">
        <v>0</v>
      </c>
      <c r="I31" s="56"/>
      <c r="J31" s="56">
        <v>0</v>
      </c>
      <c r="K31" s="56">
        <v>0</v>
      </c>
      <c r="L31" s="56">
        <v>0</v>
      </c>
      <c r="M31" s="61">
        <f t="shared" si="0"/>
        <v>0</v>
      </c>
      <c r="N31" s="56">
        <v>0</v>
      </c>
      <c r="O31" s="56">
        <v>0</v>
      </c>
      <c r="P31" s="58">
        <v>0</v>
      </c>
      <c r="Q31" s="58">
        <v>0</v>
      </c>
      <c r="R31" s="58">
        <v>0</v>
      </c>
      <c r="S31" s="61">
        <f>SUM(M31:R31)</f>
        <v>0</v>
      </c>
      <c r="T31" s="56"/>
      <c r="U31" s="63">
        <f t="shared" si="1"/>
        <v>0</v>
      </c>
      <c r="V31" s="56">
        <f t="shared" si="2"/>
        <v>0</v>
      </c>
      <c r="W31" s="64">
        <f t="shared" si="3"/>
        <v>0</v>
      </c>
      <c r="Z31" s="11">
        <f t="shared" si="4"/>
        <v>0</v>
      </c>
    </row>
    <row r="32" spans="1:26">
      <c r="A32" s="68" t="s">
        <v>99</v>
      </c>
      <c r="B32" s="68"/>
      <c r="C32" s="69"/>
      <c r="D32" s="69"/>
      <c r="E32" s="69"/>
      <c r="F32" s="70" t="s">
        <v>100</v>
      </c>
      <c r="G32" s="71">
        <f t="shared" ref="G32:S32" si="6">SUM(G11:G31)</f>
        <v>442413.7326333333</v>
      </c>
      <c r="H32" s="71">
        <f t="shared" si="6"/>
        <v>0</v>
      </c>
      <c r="I32" s="71">
        <f t="shared" si="6"/>
        <v>0</v>
      </c>
      <c r="J32" s="71">
        <f t="shared" si="6"/>
        <v>0</v>
      </c>
      <c r="K32" s="71">
        <f t="shared" si="6"/>
        <v>0</v>
      </c>
      <c r="L32" s="71">
        <f t="shared" si="6"/>
        <v>0</v>
      </c>
      <c r="M32" s="71">
        <f t="shared" si="6"/>
        <v>442413.7326333333</v>
      </c>
      <c r="N32" s="71">
        <f t="shared" si="6"/>
        <v>148915.29166666666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71">
        <f t="shared" si="6"/>
        <v>0</v>
      </c>
      <c r="S32" s="71">
        <f t="shared" si="6"/>
        <v>591329.02430000005</v>
      </c>
      <c r="T32" s="72" t="s">
        <v>101</v>
      </c>
      <c r="U32" s="71">
        <f>SUM(U11:U31)</f>
        <v>373378.93645269994</v>
      </c>
      <c r="V32" s="71">
        <f>SUM(V11:V31)</f>
        <v>143351.946</v>
      </c>
      <c r="W32" s="71">
        <f>SUM(W11:W31)</f>
        <v>230026.9904527</v>
      </c>
      <c r="Z32" s="11">
        <f>SUM(M32:R32)-S32</f>
        <v>0</v>
      </c>
    </row>
    <row r="33" spans="1:26">
      <c r="A33" s="57"/>
      <c r="B33" s="59" t="s">
        <v>102</v>
      </c>
      <c r="C33" s="65"/>
      <c r="D33" s="65"/>
      <c r="E33" s="65"/>
      <c r="F33" s="66"/>
      <c r="G33" s="56"/>
      <c r="H33" s="56"/>
      <c r="I33" s="56"/>
      <c r="J33" s="56"/>
      <c r="K33" s="56"/>
      <c r="L33" s="56"/>
      <c r="M33" s="73" t="str">
        <f>IF(SUM(G32:L32)=M32,"CF","ERROR CF")</f>
        <v>CF</v>
      </c>
      <c r="N33" s="56"/>
      <c r="O33" s="56"/>
      <c r="P33" s="56"/>
      <c r="Q33" s="56"/>
      <c r="R33" s="56"/>
      <c r="S33" s="73" t="str">
        <f>IF(SUM(M32:R32)=S32,"CF","ERROR CF")</f>
        <v>CF</v>
      </c>
      <c r="T33" s="56"/>
      <c r="U33" s="56"/>
      <c r="V33" s="56"/>
      <c r="W33" s="64"/>
      <c r="Z33" s="11"/>
    </row>
    <row r="34" spans="1:26" ht="15">
      <c r="A34" s="307" t="s">
        <v>103</v>
      </c>
      <c r="B34" s="307"/>
      <c r="C34" s="307"/>
      <c r="D34" s="307"/>
      <c r="E34" s="307"/>
      <c r="F34" s="66"/>
      <c r="G34" s="56"/>
      <c r="H34" s="56"/>
      <c r="I34" s="56"/>
      <c r="J34" s="56"/>
      <c r="K34" s="56"/>
      <c r="L34" s="56"/>
      <c r="M34" s="73"/>
      <c r="N34" s="56"/>
      <c r="O34" s="56"/>
      <c r="P34" s="56"/>
      <c r="Q34" s="56"/>
      <c r="R34" s="56"/>
      <c r="S34" s="73"/>
      <c r="T34" s="56"/>
      <c r="U34" s="56"/>
      <c r="V34" s="56"/>
      <c r="W34" s="64"/>
      <c r="Z34" s="11"/>
    </row>
    <row r="35" spans="1:26" ht="15">
      <c r="A35" s="74" t="s">
        <v>104</v>
      </c>
      <c r="B35" s="75" t="s">
        <v>629</v>
      </c>
      <c r="C35" s="54">
        <v>101000</v>
      </c>
      <c r="D35" s="54" t="s">
        <v>93</v>
      </c>
      <c r="E35" s="54" t="s">
        <v>90</v>
      </c>
      <c r="F35" s="66" t="s">
        <v>105</v>
      </c>
      <c r="G35" s="61">
        <v>-9826918.6288688947</v>
      </c>
      <c r="H35" s="56">
        <v>-2549853</v>
      </c>
      <c r="I35" s="56"/>
      <c r="J35" s="58">
        <v>0</v>
      </c>
      <c r="K35" s="56">
        <v>0</v>
      </c>
      <c r="L35" s="56">
        <v>0</v>
      </c>
      <c r="M35" s="61">
        <f t="shared" ref="M35:M98" si="7">SUM(G35:L35)</f>
        <v>-12376771.628868895</v>
      </c>
      <c r="N35" s="56">
        <v>-397396.94999999995</v>
      </c>
      <c r="O35" s="56">
        <v>0</v>
      </c>
      <c r="P35" s="58">
        <v>0</v>
      </c>
      <c r="Q35" s="58">
        <v>0</v>
      </c>
      <c r="R35" s="58">
        <v>0</v>
      </c>
      <c r="S35" s="61">
        <f t="shared" ref="S35:S98" si="8">SUM(M35:R35)</f>
        <v>-12774168.578868894</v>
      </c>
      <c r="T35" s="56"/>
      <c r="U35" s="63">
        <f t="shared" ref="U35:U98" si="9">IF(S35&gt;0,S35*$G$308,0)</f>
        <v>0</v>
      </c>
      <c r="V35" s="56">
        <f t="shared" ref="V35:V98" si="10">IF(S35&lt;0,-S35*$G$308,0)</f>
        <v>4969151.5771799991</v>
      </c>
      <c r="W35" s="64">
        <f t="shared" ref="W35:W98" si="11">U35-V35</f>
        <v>-4969151.5771799991</v>
      </c>
      <c r="X35" s="76"/>
      <c r="Y35" s="77"/>
      <c r="Z35" s="78">
        <f t="shared" ref="Z35:Z98" si="12">SUM(M35:R35)-S35</f>
        <v>0</v>
      </c>
    </row>
    <row r="36" spans="1:26" ht="15">
      <c r="A36" s="74" t="s">
        <v>106</v>
      </c>
      <c r="B36" s="75" t="s">
        <v>630</v>
      </c>
      <c r="C36" s="54">
        <v>101000</v>
      </c>
      <c r="D36" s="54" t="s">
        <v>93</v>
      </c>
      <c r="E36" s="54" t="s">
        <v>107</v>
      </c>
      <c r="F36" s="79"/>
      <c r="G36" s="61">
        <v>0</v>
      </c>
      <c r="H36" s="56">
        <v>0</v>
      </c>
      <c r="I36" s="56"/>
      <c r="J36" s="58">
        <v>0</v>
      </c>
      <c r="K36" s="56">
        <v>0</v>
      </c>
      <c r="L36" s="56">
        <v>0</v>
      </c>
      <c r="M36" s="61">
        <f t="shared" si="7"/>
        <v>0</v>
      </c>
      <c r="N36" s="56">
        <v>0</v>
      </c>
      <c r="O36" s="56">
        <v>0</v>
      </c>
      <c r="P36" s="58">
        <v>0</v>
      </c>
      <c r="Q36" s="58">
        <v>0</v>
      </c>
      <c r="R36" s="58">
        <v>0</v>
      </c>
      <c r="S36" s="61">
        <f t="shared" si="8"/>
        <v>0</v>
      </c>
      <c r="T36" s="56"/>
      <c r="U36" s="63">
        <f t="shared" si="9"/>
        <v>0</v>
      </c>
      <c r="V36" s="56">
        <f t="shared" si="10"/>
        <v>0</v>
      </c>
      <c r="W36" s="64">
        <f t="shared" si="11"/>
        <v>0</v>
      </c>
      <c r="X36" s="77"/>
      <c r="Y36" s="77"/>
      <c r="Z36" s="78">
        <f t="shared" si="12"/>
        <v>0</v>
      </c>
    </row>
    <row r="37" spans="1:26" ht="15">
      <c r="A37" s="74" t="s">
        <v>108</v>
      </c>
      <c r="B37" s="75" t="s">
        <v>631</v>
      </c>
      <c r="C37" s="54">
        <v>101000</v>
      </c>
      <c r="D37" s="54" t="s">
        <v>93</v>
      </c>
      <c r="E37" s="54" t="s">
        <v>90</v>
      </c>
      <c r="F37" s="79"/>
      <c r="G37" s="61">
        <v>-72011305.079999745</v>
      </c>
      <c r="H37" s="56">
        <v>0</v>
      </c>
      <c r="I37" s="56"/>
      <c r="J37" s="58">
        <f>-1318053+13</f>
        <v>-1318040</v>
      </c>
      <c r="K37" s="56">
        <v>0</v>
      </c>
      <c r="L37" s="56">
        <v>0</v>
      </c>
      <c r="M37" s="61">
        <f t="shared" si="7"/>
        <v>-73329345.079999745</v>
      </c>
      <c r="N37" s="56">
        <v>0</v>
      </c>
      <c r="O37" s="56">
        <v>0</v>
      </c>
      <c r="P37" s="58">
        <v>0</v>
      </c>
      <c r="Q37" s="58">
        <v>0</v>
      </c>
      <c r="R37" s="58">
        <v>0</v>
      </c>
      <c r="S37" s="61">
        <f t="shared" si="8"/>
        <v>-73329345.079999745</v>
      </c>
      <c r="T37" s="56"/>
      <c r="U37" s="63">
        <f t="shared" si="9"/>
        <v>0</v>
      </c>
      <c r="V37" s="56">
        <f t="shared" si="10"/>
        <v>28525115.236119896</v>
      </c>
      <c r="W37" s="64">
        <f t="shared" si="11"/>
        <v>-28525115.236119896</v>
      </c>
      <c r="X37" s="77"/>
      <c r="Y37" s="77"/>
      <c r="Z37" s="78">
        <f t="shared" si="12"/>
        <v>0</v>
      </c>
    </row>
    <row r="38" spans="1:26">
      <c r="A38" s="74" t="s">
        <v>109</v>
      </c>
      <c r="B38" s="75" t="s">
        <v>632</v>
      </c>
      <c r="C38" s="65">
        <v>101100</v>
      </c>
      <c r="D38" s="65" t="s">
        <v>93</v>
      </c>
      <c r="E38" s="65" t="s">
        <v>90</v>
      </c>
      <c r="F38" s="79"/>
      <c r="G38" s="61">
        <v>-273653</v>
      </c>
      <c r="H38" s="56">
        <v>0</v>
      </c>
      <c r="I38" s="56"/>
      <c r="J38" s="58">
        <v>0</v>
      </c>
      <c r="K38" s="56">
        <v>0</v>
      </c>
      <c r="L38" s="56">
        <v>0</v>
      </c>
      <c r="M38" s="61">
        <f t="shared" si="7"/>
        <v>-273653</v>
      </c>
      <c r="N38" s="56">
        <v>0</v>
      </c>
      <c r="O38" s="56">
        <v>0</v>
      </c>
      <c r="P38" s="58">
        <v>0</v>
      </c>
      <c r="Q38" s="58">
        <v>0</v>
      </c>
      <c r="R38" s="58">
        <v>0</v>
      </c>
      <c r="S38" s="61">
        <f t="shared" si="8"/>
        <v>-273653</v>
      </c>
      <c r="T38" s="56"/>
      <c r="U38" s="63">
        <f t="shared" si="9"/>
        <v>0</v>
      </c>
      <c r="V38" s="56">
        <f t="shared" si="10"/>
        <v>106451.01699999999</v>
      </c>
      <c r="W38" s="64">
        <f t="shared" si="11"/>
        <v>-106451.01699999999</v>
      </c>
      <c r="Z38" s="11">
        <f t="shared" si="12"/>
        <v>0</v>
      </c>
    </row>
    <row r="39" spans="1:26">
      <c r="A39" s="74" t="s">
        <v>110</v>
      </c>
      <c r="B39" s="75" t="s">
        <v>633</v>
      </c>
      <c r="C39" s="54">
        <v>101303</v>
      </c>
      <c r="D39" s="54" t="s">
        <v>76</v>
      </c>
      <c r="E39" s="54" t="s">
        <v>90</v>
      </c>
      <c r="F39" s="79"/>
      <c r="G39" s="61">
        <v>0</v>
      </c>
      <c r="H39" s="56">
        <v>0</v>
      </c>
      <c r="I39" s="56"/>
      <c r="J39" s="58">
        <v>0</v>
      </c>
      <c r="K39" s="56">
        <v>0</v>
      </c>
      <c r="L39" s="56">
        <v>0</v>
      </c>
      <c r="M39" s="61">
        <f t="shared" si="7"/>
        <v>0</v>
      </c>
      <c r="N39" s="56">
        <v>0</v>
      </c>
      <c r="O39" s="56">
        <v>0</v>
      </c>
      <c r="P39" s="58">
        <v>0</v>
      </c>
      <c r="Q39" s="58">
        <v>0</v>
      </c>
      <c r="R39" s="58">
        <v>0</v>
      </c>
      <c r="S39" s="61">
        <f t="shared" si="8"/>
        <v>0</v>
      </c>
      <c r="T39" s="56"/>
      <c r="U39" s="63">
        <f t="shared" si="9"/>
        <v>0</v>
      </c>
      <c r="V39" s="56">
        <f t="shared" si="10"/>
        <v>0</v>
      </c>
      <c r="W39" s="64">
        <f t="shared" si="11"/>
        <v>0</v>
      </c>
      <c r="X39" s="80"/>
      <c r="Y39" s="80"/>
      <c r="Z39" s="81">
        <f t="shared" si="12"/>
        <v>0</v>
      </c>
    </row>
    <row r="40" spans="1:26">
      <c r="A40" s="74" t="s">
        <v>111</v>
      </c>
      <c r="B40" s="75" t="s">
        <v>634</v>
      </c>
      <c r="C40" s="54">
        <v>103000</v>
      </c>
      <c r="D40" s="54" t="s">
        <v>76</v>
      </c>
      <c r="E40" s="54" t="s">
        <v>90</v>
      </c>
      <c r="F40" s="79"/>
      <c r="G40" s="61">
        <v>0</v>
      </c>
      <c r="H40" s="56">
        <v>0</v>
      </c>
      <c r="I40" s="56"/>
      <c r="J40" s="58">
        <f>-169167-220000-1430/G308</f>
        <v>-392843.09254498716</v>
      </c>
      <c r="K40" s="56">
        <v>0</v>
      </c>
      <c r="L40" s="56">
        <v>0</v>
      </c>
      <c r="M40" s="61">
        <f t="shared" si="7"/>
        <v>-392843.09254498716</v>
      </c>
      <c r="N40" s="56">
        <v>0</v>
      </c>
      <c r="O40" s="56">
        <v>0</v>
      </c>
      <c r="P40" s="58">
        <v>0</v>
      </c>
      <c r="Q40" s="58">
        <v>0</v>
      </c>
      <c r="R40" s="58">
        <v>0</v>
      </c>
      <c r="S40" s="61">
        <f t="shared" si="8"/>
        <v>-392843.09254498716</v>
      </c>
      <c r="T40" s="56"/>
      <c r="U40" s="63">
        <f t="shared" si="9"/>
        <v>0</v>
      </c>
      <c r="V40" s="56">
        <f t="shared" si="10"/>
        <v>152815.96299999999</v>
      </c>
      <c r="W40" s="64">
        <f t="shared" si="11"/>
        <v>-152815.96299999999</v>
      </c>
      <c r="X40" s="56"/>
      <c r="Y40" s="82"/>
      <c r="Z40" s="83">
        <f t="shared" si="12"/>
        <v>0</v>
      </c>
    </row>
    <row r="41" spans="1:26">
      <c r="A41" s="74" t="s">
        <v>112</v>
      </c>
      <c r="B41" s="75" t="s">
        <v>635</v>
      </c>
      <c r="C41" s="65">
        <v>108000</v>
      </c>
      <c r="D41" s="65" t="s">
        <v>93</v>
      </c>
      <c r="E41" s="65" t="s">
        <v>113</v>
      </c>
      <c r="F41" s="79"/>
      <c r="G41" s="61">
        <v>-3022192.5566299111</v>
      </c>
      <c r="H41" s="56">
        <v>111134056</v>
      </c>
      <c r="I41" s="56"/>
      <c r="J41" s="58">
        <f>1050011</f>
        <v>1050011</v>
      </c>
      <c r="K41" s="56">
        <v>0</v>
      </c>
      <c r="L41" s="56">
        <v>0</v>
      </c>
      <c r="M41" s="61">
        <f t="shared" si="7"/>
        <v>109161874.44337009</v>
      </c>
      <c r="N41" s="56">
        <v>-885103.44653729536</v>
      </c>
      <c r="O41" s="56">
        <v>0</v>
      </c>
      <c r="P41" s="58">
        <v>0</v>
      </c>
      <c r="Q41" s="58">
        <v>0</v>
      </c>
      <c r="R41" s="58">
        <v>0</v>
      </c>
      <c r="S41" s="61">
        <f t="shared" si="8"/>
        <v>108276770.99683279</v>
      </c>
      <c r="T41" s="56"/>
      <c r="U41" s="63">
        <f t="shared" si="9"/>
        <v>42119663.917767949</v>
      </c>
      <c r="V41" s="56">
        <f t="shared" si="10"/>
        <v>0</v>
      </c>
      <c r="W41" s="64">
        <f t="shared" si="11"/>
        <v>42119663.917767949</v>
      </c>
      <c r="Z41" s="11">
        <f t="shared" si="12"/>
        <v>0</v>
      </c>
    </row>
    <row r="42" spans="1:26">
      <c r="A42" s="74" t="s">
        <v>114</v>
      </c>
      <c r="B42" s="75" t="s">
        <v>636</v>
      </c>
      <c r="C42" s="65">
        <v>108000</v>
      </c>
      <c r="D42" s="65" t="s">
        <v>93</v>
      </c>
      <c r="E42" s="65" t="s">
        <v>113</v>
      </c>
      <c r="F42" s="79"/>
      <c r="G42" s="61">
        <v>0</v>
      </c>
      <c r="H42" s="56">
        <v>0</v>
      </c>
      <c r="I42" s="56"/>
      <c r="J42" s="58">
        <v>0</v>
      </c>
      <c r="K42" s="56">
        <v>0</v>
      </c>
      <c r="L42" s="56">
        <v>0</v>
      </c>
      <c r="M42" s="61">
        <f t="shared" si="7"/>
        <v>0</v>
      </c>
      <c r="N42" s="56">
        <v>0</v>
      </c>
      <c r="O42" s="56">
        <v>0</v>
      </c>
      <c r="P42" s="58">
        <v>0</v>
      </c>
      <c r="Q42" s="58">
        <v>0</v>
      </c>
      <c r="R42" s="58">
        <v>0</v>
      </c>
      <c r="S42" s="61">
        <f t="shared" si="8"/>
        <v>0</v>
      </c>
      <c r="T42" s="56"/>
      <c r="U42" s="63">
        <f t="shared" si="9"/>
        <v>0</v>
      </c>
      <c r="V42" s="56">
        <f t="shared" si="10"/>
        <v>0</v>
      </c>
      <c r="W42" s="64">
        <f t="shared" si="11"/>
        <v>0</v>
      </c>
      <c r="Z42" s="11">
        <f t="shared" si="12"/>
        <v>0</v>
      </c>
    </row>
    <row r="43" spans="1:26">
      <c r="A43" s="74" t="s">
        <v>115</v>
      </c>
      <c r="B43" s="75" t="s">
        <v>637</v>
      </c>
      <c r="C43" s="65">
        <v>108000</v>
      </c>
      <c r="D43" s="65" t="s">
        <v>93</v>
      </c>
      <c r="E43" s="65" t="s">
        <v>113</v>
      </c>
      <c r="F43" s="79"/>
      <c r="G43" s="61">
        <v>-4659</v>
      </c>
      <c r="H43" s="56">
        <v>0</v>
      </c>
      <c r="I43" s="56"/>
      <c r="J43" s="58">
        <v>0</v>
      </c>
      <c r="K43" s="56">
        <v>0</v>
      </c>
      <c r="L43" s="56">
        <v>0</v>
      </c>
      <c r="M43" s="61">
        <f t="shared" si="7"/>
        <v>-4659</v>
      </c>
      <c r="N43" s="56">
        <v>0</v>
      </c>
      <c r="O43" s="56">
        <v>0</v>
      </c>
      <c r="P43" s="58">
        <v>0</v>
      </c>
      <c r="Q43" s="58">
        <v>0</v>
      </c>
      <c r="R43" s="58">
        <v>0</v>
      </c>
      <c r="S43" s="61">
        <f t="shared" si="8"/>
        <v>-4659</v>
      </c>
      <c r="T43" s="56"/>
      <c r="U43" s="63">
        <f t="shared" si="9"/>
        <v>0</v>
      </c>
      <c r="V43" s="56">
        <f t="shared" si="10"/>
        <v>1812.3509999999999</v>
      </c>
      <c r="W43" s="64">
        <f t="shared" si="11"/>
        <v>-1812.3509999999999</v>
      </c>
      <c r="Z43" s="11">
        <f t="shared" si="12"/>
        <v>0</v>
      </c>
    </row>
    <row r="44" spans="1:26">
      <c r="A44" s="74" t="s">
        <v>116</v>
      </c>
      <c r="B44" s="75" t="s">
        <v>638</v>
      </c>
      <c r="C44" s="65">
        <v>108000</v>
      </c>
      <c r="D44" s="65" t="s">
        <v>93</v>
      </c>
      <c r="E44" s="65" t="s">
        <v>113</v>
      </c>
      <c r="F44" s="79"/>
      <c r="G44" s="61">
        <v>-1060237.6397800001</v>
      </c>
      <c r="H44" s="56">
        <v>64563</v>
      </c>
      <c r="I44" s="56"/>
      <c r="J44" s="58">
        <v>0</v>
      </c>
      <c r="K44" s="56">
        <v>0</v>
      </c>
      <c r="L44" s="56">
        <v>0</v>
      </c>
      <c r="M44" s="61">
        <f t="shared" si="7"/>
        <v>-995674.63978000009</v>
      </c>
      <c r="N44" s="56">
        <v>-1564166.0976770329</v>
      </c>
      <c r="O44" s="56">
        <v>0</v>
      </c>
      <c r="P44" s="58">
        <v>0</v>
      </c>
      <c r="Q44" s="58">
        <v>0</v>
      </c>
      <c r="R44" s="58">
        <v>0</v>
      </c>
      <c r="S44" s="61">
        <f t="shared" si="8"/>
        <v>-2559840.7374570332</v>
      </c>
      <c r="T44" s="56"/>
      <c r="U44" s="63">
        <f t="shared" si="9"/>
        <v>0</v>
      </c>
      <c r="V44" s="56">
        <f t="shared" si="10"/>
        <v>995778.04687078577</v>
      </c>
      <c r="W44" s="64">
        <f t="shared" si="11"/>
        <v>-995778.04687078577</v>
      </c>
      <c r="Z44" s="11">
        <f t="shared" si="12"/>
        <v>0</v>
      </c>
    </row>
    <row r="45" spans="1:26">
      <c r="A45" s="74" t="s">
        <v>117</v>
      </c>
      <c r="B45" s="75" t="s">
        <v>639</v>
      </c>
      <c r="C45" s="65">
        <v>108000</v>
      </c>
      <c r="D45" s="65" t="s">
        <v>93</v>
      </c>
      <c r="E45" s="65" t="s">
        <v>118</v>
      </c>
      <c r="F45" s="79"/>
      <c r="G45" s="61">
        <v>10112059</v>
      </c>
      <c r="H45" s="56">
        <v>0</v>
      </c>
      <c r="I45" s="56"/>
      <c r="J45" s="58">
        <v>0</v>
      </c>
      <c r="K45" s="56">
        <v>0</v>
      </c>
      <c r="L45" s="56">
        <v>0</v>
      </c>
      <c r="M45" s="61">
        <f t="shared" si="7"/>
        <v>10112059</v>
      </c>
      <c r="N45" s="56">
        <v>1148640</v>
      </c>
      <c r="O45" s="56">
        <v>0</v>
      </c>
      <c r="P45" s="58">
        <v>0</v>
      </c>
      <c r="Q45" s="58">
        <v>0</v>
      </c>
      <c r="R45" s="58">
        <v>0</v>
      </c>
      <c r="S45" s="61">
        <f t="shared" si="8"/>
        <v>11260699</v>
      </c>
      <c r="T45" s="56"/>
      <c r="U45" s="63">
        <f t="shared" si="9"/>
        <v>4380411.9109999994</v>
      </c>
      <c r="V45" s="56">
        <f t="shared" si="10"/>
        <v>0</v>
      </c>
      <c r="W45" s="64">
        <f t="shared" si="11"/>
        <v>4380411.9109999994</v>
      </c>
      <c r="Z45" s="11">
        <f t="shared" si="12"/>
        <v>0</v>
      </c>
    </row>
    <row r="46" spans="1:26">
      <c r="A46" s="74" t="s">
        <v>119</v>
      </c>
      <c r="B46" s="75" t="s">
        <v>640</v>
      </c>
      <c r="C46" s="54">
        <v>108000</v>
      </c>
      <c r="D46" s="54" t="s">
        <v>93</v>
      </c>
      <c r="E46" s="54" t="s">
        <v>113</v>
      </c>
      <c r="F46" s="79"/>
      <c r="G46" s="61">
        <v>-207037818.41</v>
      </c>
      <c r="H46" s="56">
        <v>0</v>
      </c>
      <c r="I46" s="56"/>
      <c r="J46" s="58">
        <v>0</v>
      </c>
      <c r="K46" s="56">
        <v>0</v>
      </c>
      <c r="L46" s="56">
        <v>0</v>
      </c>
      <c r="M46" s="61">
        <f t="shared" si="7"/>
        <v>-207037818.41</v>
      </c>
      <c r="N46" s="56">
        <v>0</v>
      </c>
      <c r="O46" s="56">
        <v>0</v>
      </c>
      <c r="P46" s="58">
        <v>0</v>
      </c>
      <c r="Q46" s="58">
        <v>0</v>
      </c>
      <c r="R46" s="58">
        <v>0</v>
      </c>
      <c r="S46" s="61">
        <f t="shared" si="8"/>
        <v>-207037818.41</v>
      </c>
      <c r="T46" s="56"/>
      <c r="U46" s="63">
        <f t="shared" si="9"/>
        <v>0</v>
      </c>
      <c r="V46" s="56">
        <f t="shared" si="10"/>
        <v>80537711.361489996</v>
      </c>
      <c r="W46" s="64">
        <f t="shared" si="11"/>
        <v>-80537711.361489996</v>
      </c>
      <c r="X46" s="56"/>
      <c r="Y46" s="56"/>
      <c r="Z46" s="83">
        <f t="shared" si="12"/>
        <v>0</v>
      </c>
    </row>
    <row r="47" spans="1:26">
      <c r="A47" s="74" t="s">
        <v>120</v>
      </c>
      <c r="B47" s="75" t="s">
        <v>641</v>
      </c>
      <c r="C47" s="54">
        <v>121000</v>
      </c>
      <c r="D47" s="54" t="s">
        <v>93</v>
      </c>
      <c r="E47" s="54" t="s">
        <v>90</v>
      </c>
      <c r="F47" s="79"/>
      <c r="G47" s="61">
        <v>0</v>
      </c>
      <c r="H47" s="56">
        <v>0</v>
      </c>
      <c r="I47" s="56"/>
      <c r="J47" s="58">
        <v>0</v>
      </c>
      <c r="K47" s="56">
        <v>0</v>
      </c>
      <c r="L47" s="56">
        <v>0</v>
      </c>
      <c r="M47" s="61">
        <f t="shared" si="7"/>
        <v>0</v>
      </c>
      <c r="N47" s="56">
        <v>0</v>
      </c>
      <c r="O47" s="56">
        <v>0</v>
      </c>
      <c r="P47" s="58">
        <v>0</v>
      </c>
      <c r="Q47" s="58">
        <v>0</v>
      </c>
      <c r="R47" s="58">
        <v>0</v>
      </c>
      <c r="S47" s="61">
        <f t="shared" si="8"/>
        <v>0</v>
      </c>
      <c r="T47" s="56"/>
      <c r="U47" s="63">
        <f t="shared" si="9"/>
        <v>0</v>
      </c>
      <c r="V47" s="56">
        <f t="shared" si="10"/>
        <v>0</v>
      </c>
      <c r="W47" s="64">
        <f t="shared" si="11"/>
        <v>0</v>
      </c>
      <c r="X47" s="56"/>
      <c r="Y47" s="56"/>
      <c r="Z47" s="83">
        <f t="shared" si="12"/>
        <v>0</v>
      </c>
    </row>
    <row r="48" spans="1:26">
      <c r="A48" s="74" t="s">
        <v>121</v>
      </c>
      <c r="B48" s="75" t="s">
        <v>642</v>
      </c>
      <c r="C48" s="54">
        <v>122000</v>
      </c>
      <c r="D48" s="54" t="s">
        <v>93</v>
      </c>
      <c r="E48" s="54" t="s">
        <v>113</v>
      </c>
      <c r="F48" s="79"/>
      <c r="G48" s="61">
        <v>0</v>
      </c>
      <c r="H48" s="56">
        <v>0</v>
      </c>
      <c r="I48" s="56"/>
      <c r="J48" s="58">
        <v>0</v>
      </c>
      <c r="K48" s="56">
        <v>0</v>
      </c>
      <c r="L48" s="56">
        <v>0</v>
      </c>
      <c r="M48" s="61">
        <f t="shared" si="7"/>
        <v>0</v>
      </c>
      <c r="N48" s="56">
        <v>0</v>
      </c>
      <c r="O48" s="56">
        <v>0</v>
      </c>
      <c r="P48" s="58">
        <v>0</v>
      </c>
      <c r="Q48" s="58">
        <v>0</v>
      </c>
      <c r="R48" s="58">
        <v>0</v>
      </c>
      <c r="S48" s="61">
        <f t="shared" si="8"/>
        <v>0</v>
      </c>
      <c r="T48" s="56"/>
      <c r="U48" s="63">
        <f t="shared" si="9"/>
        <v>0</v>
      </c>
      <c r="V48" s="56">
        <f t="shared" si="10"/>
        <v>0</v>
      </c>
      <c r="W48" s="64">
        <f t="shared" si="11"/>
        <v>0</v>
      </c>
      <c r="X48" s="56"/>
      <c r="Y48" s="56"/>
      <c r="Z48" s="83">
        <f t="shared" si="12"/>
        <v>0</v>
      </c>
    </row>
    <row r="49" spans="1:26">
      <c r="A49" s="74" t="s">
        <v>122</v>
      </c>
      <c r="B49" s="75" t="s">
        <v>643</v>
      </c>
      <c r="C49" s="65">
        <v>123131</v>
      </c>
      <c r="D49" s="65" t="s">
        <v>93</v>
      </c>
      <c r="E49" s="65" t="s">
        <v>123</v>
      </c>
      <c r="F49" s="79"/>
      <c r="G49" s="61">
        <v>94620</v>
      </c>
      <c r="H49" s="56">
        <v>0</v>
      </c>
      <c r="I49" s="56"/>
      <c r="J49" s="58">
        <v>0</v>
      </c>
      <c r="K49" s="56">
        <v>0</v>
      </c>
      <c r="L49" s="56">
        <v>0</v>
      </c>
      <c r="M49" s="61">
        <f t="shared" si="7"/>
        <v>94620</v>
      </c>
      <c r="N49" s="56">
        <v>0</v>
      </c>
      <c r="O49" s="56">
        <v>0</v>
      </c>
      <c r="P49" s="58">
        <v>0</v>
      </c>
      <c r="Q49" s="58">
        <v>0</v>
      </c>
      <c r="R49" s="58">
        <v>0</v>
      </c>
      <c r="S49" s="61">
        <f t="shared" si="8"/>
        <v>94620</v>
      </c>
      <c r="T49" s="56"/>
      <c r="U49" s="63">
        <f t="shared" si="9"/>
        <v>36807.179999999993</v>
      </c>
      <c r="V49" s="56">
        <f t="shared" si="10"/>
        <v>0</v>
      </c>
      <c r="W49" s="64">
        <f t="shared" si="11"/>
        <v>36807.179999999993</v>
      </c>
      <c r="Z49" s="11">
        <f t="shared" si="12"/>
        <v>0</v>
      </c>
    </row>
    <row r="50" spans="1:26">
      <c r="A50" s="74" t="s">
        <v>124</v>
      </c>
      <c r="B50" s="75" t="s">
        <v>644</v>
      </c>
      <c r="C50" s="65">
        <v>108190</v>
      </c>
      <c r="D50" s="65" t="s">
        <v>93</v>
      </c>
      <c r="E50" s="65" t="s">
        <v>113</v>
      </c>
      <c r="F50" s="79"/>
      <c r="G50" s="61">
        <v>117289</v>
      </c>
      <c r="H50" s="56">
        <v>-6900</v>
      </c>
      <c r="I50" s="56"/>
      <c r="J50" s="58">
        <v>0</v>
      </c>
      <c r="K50" s="56">
        <v>0</v>
      </c>
      <c r="L50" s="56">
        <v>0</v>
      </c>
      <c r="M50" s="61">
        <f t="shared" si="7"/>
        <v>110389</v>
      </c>
      <c r="N50" s="56">
        <v>6900</v>
      </c>
      <c r="O50" s="56">
        <v>0</v>
      </c>
      <c r="P50" s="58">
        <v>0</v>
      </c>
      <c r="Q50" s="58">
        <v>0</v>
      </c>
      <c r="R50" s="58">
        <v>0</v>
      </c>
      <c r="S50" s="61">
        <f t="shared" si="8"/>
        <v>117289</v>
      </c>
      <c r="T50" s="56"/>
      <c r="U50" s="63">
        <f t="shared" si="9"/>
        <v>45625.420999999995</v>
      </c>
      <c r="V50" s="56">
        <f t="shared" si="10"/>
        <v>0</v>
      </c>
      <c r="W50" s="64">
        <f t="shared" si="11"/>
        <v>45625.420999999995</v>
      </c>
      <c r="Z50" s="11">
        <f t="shared" si="12"/>
        <v>0</v>
      </c>
    </row>
    <row r="51" spans="1:26">
      <c r="A51" s="74" t="s">
        <v>125</v>
      </c>
      <c r="B51" s="75" t="s">
        <v>645</v>
      </c>
      <c r="C51" s="65">
        <v>108400</v>
      </c>
      <c r="D51" s="65" t="s">
        <v>93</v>
      </c>
      <c r="E51" s="65" t="s">
        <v>126</v>
      </c>
      <c r="F51" s="79"/>
      <c r="G51" s="61">
        <v>0</v>
      </c>
      <c r="H51" s="56">
        <v>0</v>
      </c>
      <c r="I51" s="56"/>
      <c r="J51" s="58">
        <v>0</v>
      </c>
      <c r="K51" s="56">
        <v>0</v>
      </c>
      <c r="L51" s="56">
        <v>0</v>
      </c>
      <c r="M51" s="61">
        <f t="shared" si="7"/>
        <v>0</v>
      </c>
      <c r="N51" s="56">
        <v>0</v>
      </c>
      <c r="O51" s="56">
        <v>0</v>
      </c>
      <c r="P51" s="58">
        <v>0</v>
      </c>
      <c r="Q51" s="58">
        <v>0</v>
      </c>
      <c r="R51" s="58">
        <v>0</v>
      </c>
      <c r="S51" s="61">
        <f t="shared" si="8"/>
        <v>0</v>
      </c>
      <c r="T51" s="56"/>
      <c r="U51" s="63">
        <f t="shared" si="9"/>
        <v>0</v>
      </c>
      <c r="V51" s="56">
        <f t="shared" si="10"/>
        <v>0</v>
      </c>
      <c r="W51" s="64">
        <f t="shared" si="11"/>
        <v>0</v>
      </c>
      <c r="Z51" s="11">
        <f t="shared" si="12"/>
        <v>0</v>
      </c>
    </row>
    <row r="52" spans="1:26">
      <c r="A52" s="74" t="s">
        <v>127</v>
      </c>
      <c r="B52" s="75" t="s">
        <v>646</v>
      </c>
      <c r="C52" s="54">
        <v>110000</v>
      </c>
      <c r="D52" s="54" t="s">
        <v>93</v>
      </c>
      <c r="E52" s="54" t="s">
        <v>90</v>
      </c>
      <c r="F52" s="79"/>
      <c r="G52" s="61">
        <v>0</v>
      </c>
      <c r="H52" s="56">
        <v>0</v>
      </c>
      <c r="I52" s="56"/>
      <c r="J52" s="58">
        <v>0</v>
      </c>
      <c r="K52" s="56">
        <v>0</v>
      </c>
      <c r="L52" s="56">
        <v>0</v>
      </c>
      <c r="M52" s="61">
        <f t="shared" si="7"/>
        <v>0</v>
      </c>
      <c r="N52" s="56">
        <v>0</v>
      </c>
      <c r="O52" s="56">
        <v>0</v>
      </c>
      <c r="P52" s="58">
        <v>0</v>
      </c>
      <c r="Q52" s="58">
        <v>0</v>
      </c>
      <c r="R52" s="58">
        <v>0</v>
      </c>
      <c r="S52" s="61">
        <f t="shared" si="8"/>
        <v>0</v>
      </c>
      <c r="T52" s="56"/>
      <c r="U52" s="63">
        <f t="shared" si="9"/>
        <v>0</v>
      </c>
      <c r="V52" s="56">
        <f t="shared" si="10"/>
        <v>0</v>
      </c>
      <c r="W52" s="64">
        <f t="shared" si="11"/>
        <v>0</v>
      </c>
      <c r="X52" s="83"/>
      <c r="Y52" s="83"/>
      <c r="Z52" s="83">
        <f t="shared" si="12"/>
        <v>0</v>
      </c>
    </row>
    <row r="53" spans="1:26">
      <c r="A53" s="74" t="s">
        <v>128</v>
      </c>
      <c r="B53" s="75" t="s">
        <v>647</v>
      </c>
      <c r="C53" s="65">
        <v>114000</v>
      </c>
      <c r="D53" s="65" t="s">
        <v>93</v>
      </c>
      <c r="E53" s="65" t="s">
        <v>123</v>
      </c>
      <c r="F53" s="79"/>
      <c r="G53" s="61">
        <v>-24686.85</v>
      </c>
      <c r="H53" s="56">
        <v>0</v>
      </c>
      <c r="I53" s="56"/>
      <c r="J53" s="58">
        <v>0</v>
      </c>
      <c r="K53" s="56">
        <v>0</v>
      </c>
      <c r="L53" s="56">
        <v>0</v>
      </c>
      <c r="M53" s="61">
        <f t="shared" si="7"/>
        <v>-24686.85</v>
      </c>
      <c r="N53" s="56">
        <v>0</v>
      </c>
      <c r="O53" s="56">
        <v>0</v>
      </c>
      <c r="P53" s="58">
        <v>0</v>
      </c>
      <c r="Q53" s="58">
        <v>0</v>
      </c>
      <c r="R53" s="58">
        <v>0</v>
      </c>
      <c r="S53" s="61">
        <f t="shared" si="8"/>
        <v>-24686.85</v>
      </c>
      <c r="T53" s="56"/>
      <c r="U53" s="63">
        <f t="shared" si="9"/>
        <v>0</v>
      </c>
      <c r="V53" s="56">
        <f t="shared" si="10"/>
        <v>9603.1846499999992</v>
      </c>
      <c r="W53" s="64">
        <f t="shared" si="11"/>
        <v>-9603.1846499999992</v>
      </c>
      <c r="Z53" s="11">
        <f t="shared" si="12"/>
        <v>0</v>
      </c>
    </row>
    <row r="54" spans="1:26">
      <c r="A54" s="74" t="s">
        <v>129</v>
      </c>
      <c r="B54" s="75" t="s">
        <v>648</v>
      </c>
      <c r="C54" s="54">
        <v>114000</v>
      </c>
      <c r="D54" s="54" t="s">
        <v>93</v>
      </c>
      <c r="E54" s="54" t="s">
        <v>123</v>
      </c>
      <c r="F54" s="79"/>
      <c r="G54" s="61">
        <v>0</v>
      </c>
      <c r="H54" s="56">
        <v>0</v>
      </c>
      <c r="I54" s="56"/>
      <c r="J54" s="58">
        <v>0</v>
      </c>
      <c r="K54" s="56">
        <v>0</v>
      </c>
      <c r="L54" s="56">
        <v>0</v>
      </c>
      <c r="M54" s="61">
        <f t="shared" si="7"/>
        <v>0</v>
      </c>
      <c r="N54" s="56">
        <v>0</v>
      </c>
      <c r="O54" s="56">
        <v>0</v>
      </c>
      <c r="P54" s="58">
        <v>0</v>
      </c>
      <c r="Q54" s="58">
        <v>0</v>
      </c>
      <c r="R54" s="58">
        <v>0</v>
      </c>
      <c r="S54" s="61">
        <f t="shared" si="8"/>
        <v>0</v>
      </c>
      <c r="T54" s="56"/>
      <c r="U54" s="63">
        <f t="shared" si="9"/>
        <v>0</v>
      </c>
      <c r="V54" s="56">
        <f t="shared" si="10"/>
        <v>0</v>
      </c>
      <c r="W54" s="64">
        <f t="shared" si="11"/>
        <v>0</v>
      </c>
      <c r="X54" s="82"/>
      <c r="Y54" s="82"/>
      <c r="Z54" s="83">
        <f t="shared" si="12"/>
        <v>0</v>
      </c>
    </row>
    <row r="55" spans="1:26">
      <c r="A55" s="74" t="s">
        <v>130</v>
      </c>
      <c r="B55" s="75" t="s">
        <v>649</v>
      </c>
      <c r="C55" s="65">
        <v>115000</v>
      </c>
      <c r="D55" s="65" t="s">
        <v>76</v>
      </c>
      <c r="E55" s="65" t="s">
        <v>131</v>
      </c>
      <c r="F55" s="79"/>
      <c r="G55" s="61">
        <v>-376689</v>
      </c>
      <c r="H55" s="56">
        <v>0</v>
      </c>
      <c r="I55" s="56"/>
      <c r="J55" s="58">
        <v>0</v>
      </c>
      <c r="K55" s="56">
        <v>0</v>
      </c>
      <c r="L55" s="56">
        <v>0</v>
      </c>
      <c r="M55" s="61">
        <f t="shared" si="7"/>
        <v>-376689</v>
      </c>
      <c r="N55" s="56">
        <v>0</v>
      </c>
      <c r="O55" s="56">
        <v>0</v>
      </c>
      <c r="P55" s="58">
        <v>0</v>
      </c>
      <c r="Q55" s="58">
        <v>0</v>
      </c>
      <c r="R55" s="58">
        <v>0</v>
      </c>
      <c r="S55" s="61">
        <f t="shared" si="8"/>
        <v>-376689</v>
      </c>
      <c r="T55" s="56"/>
      <c r="U55" s="63">
        <f t="shared" si="9"/>
        <v>0</v>
      </c>
      <c r="V55" s="56">
        <f t="shared" si="10"/>
        <v>146532.02099999998</v>
      </c>
      <c r="W55" s="64">
        <f t="shared" si="11"/>
        <v>-146532.02099999998</v>
      </c>
      <c r="X55" s="58"/>
      <c r="Z55" s="11">
        <f t="shared" si="12"/>
        <v>0</v>
      </c>
    </row>
    <row r="56" spans="1:26">
      <c r="A56" s="74" t="s">
        <v>132</v>
      </c>
      <c r="B56" s="75" t="s">
        <v>650</v>
      </c>
      <c r="C56" s="54">
        <v>121100</v>
      </c>
      <c r="D56" s="54" t="s">
        <v>76</v>
      </c>
      <c r="E56" s="54" t="s">
        <v>90</v>
      </c>
      <c r="F56" s="79"/>
      <c r="G56" s="61">
        <v>0</v>
      </c>
      <c r="H56" s="56">
        <v>0</v>
      </c>
      <c r="I56" s="56"/>
      <c r="J56" s="58">
        <v>0</v>
      </c>
      <c r="K56" s="56">
        <v>0</v>
      </c>
      <c r="L56" s="56">
        <v>0</v>
      </c>
      <c r="M56" s="61">
        <f t="shared" si="7"/>
        <v>0</v>
      </c>
      <c r="N56" s="56">
        <v>0</v>
      </c>
      <c r="O56" s="56">
        <v>0</v>
      </c>
      <c r="P56" s="58">
        <v>0</v>
      </c>
      <c r="Q56" s="58">
        <v>0</v>
      </c>
      <c r="R56" s="58">
        <v>0</v>
      </c>
      <c r="S56" s="61">
        <f t="shared" si="8"/>
        <v>0</v>
      </c>
      <c r="T56" s="56"/>
      <c r="U56" s="63">
        <f t="shared" si="9"/>
        <v>0</v>
      </c>
      <c r="V56" s="56">
        <f t="shared" si="10"/>
        <v>0</v>
      </c>
      <c r="W56" s="64">
        <f t="shared" si="11"/>
        <v>0</v>
      </c>
      <c r="X56" s="58"/>
      <c r="Z56" s="11">
        <f t="shared" si="12"/>
        <v>0</v>
      </c>
    </row>
    <row r="57" spans="1:26" ht="15">
      <c r="A57" s="74" t="s">
        <v>133</v>
      </c>
      <c r="B57" s="75" t="s">
        <v>651</v>
      </c>
      <c r="C57" s="54">
        <v>123140</v>
      </c>
      <c r="D57" s="54" t="s">
        <v>134</v>
      </c>
      <c r="E57" s="54" t="s">
        <v>135</v>
      </c>
      <c r="F57" s="79"/>
      <c r="G57" s="61">
        <v>0</v>
      </c>
      <c r="H57" s="56">
        <v>0</v>
      </c>
      <c r="I57" s="56"/>
      <c r="J57" s="58">
        <v>0</v>
      </c>
      <c r="K57" s="56">
        <v>0</v>
      </c>
      <c r="L57" s="56">
        <v>0</v>
      </c>
      <c r="M57" s="61">
        <f t="shared" si="7"/>
        <v>0</v>
      </c>
      <c r="N57" s="56">
        <v>0</v>
      </c>
      <c r="O57" s="56">
        <v>0</v>
      </c>
      <c r="P57" s="58">
        <v>0</v>
      </c>
      <c r="Q57" s="58">
        <v>0</v>
      </c>
      <c r="R57" s="58">
        <v>0</v>
      </c>
      <c r="S57" s="61">
        <f t="shared" si="8"/>
        <v>0</v>
      </c>
      <c r="T57" s="56"/>
      <c r="U57" s="63">
        <f t="shared" si="9"/>
        <v>0</v>
      </c>
      <c r="V57" s="56">
        <f t="shared" si="10"/>
        <v>0</v>
      </c>
      <c r="W57" s="64">
        <f t="shared" si="11"/>
        <v>0</v>
      </c>
      <c r="X57" s="77"/>
      <c r="Y57" s="77"/>
      <c r="Z57" s="78">
        <f t="shared" si="12"/>
        <v>0</v>
      </c>
    </row>
    <row r="58" spans="1:26" ht="15">
      <c r="A58" s="74" t="s">
        <v>136</v>
      </c>
      <c r="B58" s="75" t="s">
        <v>652</v>
      </c>
      <c r="C58" s="54">
        <v>173000</v>
      </c>
      <c r="D58" s="54" t="s">
        <v>76</v>
      </c>
      <c r="E58" s="54" t="s">
        <v>137</v>
      </c>
      <c r="F58" s="79"/>
      <c r="G58" s="61">
        <v>0</v>
      </c>
      <c r="H58" s="56">
        <v>0</v>
      </c>
      <c r="I58" s="56"/>
      <c r="J58" s="58">
        <v>0</v>
      </c>
      <c r="K58" s="56">
        <v>0</v>
      </c>
      <c r="L58" s="56">
        <v>0</v>
      </c>
      <c r="M58" s="61">
        <f t="shared" si="7"/>
        <v>0</v>
      </c>
      <c r="N58" s="56">
        <v>0</v>
      </c>
      <c r="O58" s="56">
        <v>0</v>
      </c>
      <c r="P58" s="58">
        <v>0</v>
      </c>
      <c r="Q58" s="58">
        <v>0</v>
      </c>
      <c r="R58" s="58">
        <v>0</v>
      </c>
      <c r="S58" s="61">
        <f t="shared" si="8"/>
        <v>0</v>
      </c>
      <c r="T58" s="56"/>
      <c r="U58" s="63">
        <f t="shared" si="9"/>
        <v>0</v>
      </c>
      <c r="V58" s="56">
        <f t="shared" si="10"/>
        <v>0</v>
      </c>
      <c r="W58" s="64">
        <f t="shared" si="11"/>
        <v>0</v>
      </c>
      <c r="X58" s="77"/>
      <c r="Y58" s="77"/>
      <c r="Z58" s="78">
        <f t="shared" si="12"/>
        <v>0</v>
      </c>
    </row>
    <row r="59" spans="1:26" ht="15">
      <c r="A59" s="74" t="s">
        <v>138</v>
      </c>
      <c r="B59" s="75" t="s">
        <v>653</v>
      </c>
      <c r="C59" s="54">
        <v>181000</v>
      </c>
      <c r="D59" s="54" t="s">
        <v>76</v>
      </c>
      <c r="E59" s="54" t="s">
        <v>139</v>
      </c>
      <c r="F59" s="79"/>
      <c r="G59" s="61">
        <v>0</v>
      </c>
      <c r="H59" s="56">
        <v>0</v>
      </c>
      <c r="I59" s="56"/>
      <c r="J59" s="58">
        <v>0</v>
      </c>
      <c r="K59" s="56">
        <v>0</v>
      </c>
      <c r="L59" s="56">
        <v>0</v>
      </c>
      <c r="M59" s="61">
        <f t="shared" si="7"/>
        <v>0</v>
      </c>
      <c r="N59" s="56">
        <v>0</v>
      </c>
      <c r="O59" s="56">
        <v>0</v>
      </c>
      <c r="P59" s="58">
        <v>0</v>
      </c>
      <c r="Q59" s="58">
        <v>0</v>
      </c>
      <c r="R59" s="58">
        <v>0</v>
      </c>
      <c r="S59" s="61">
        <f t="shared" si="8"/>
        <v>0</v>
      </c>
      <c r="T59" s="56"/>
      <c r="U59" s="63">
        <f t="shared" si="9"/>
        <v>0</v>
      </c>
      <c r="V59" s="56">
        <f t="shared" si="10"/>
        <v>0</v>
      </c>
      <c r="W59" s="64">
        <f t="shared" si="11"/>
        <v>0</v>
      </c>
      <c r="X59" s="77"/>
      <c r="Y59" s="77"/>
      <c r="Z59" s="78">
        <f t="shared" si="12"/>
        <v>0</v>
      </c>
    </row>
    <row r="60" spans="1:26">
      <c r="A60" s="74" t="s">
        <v>140</v>
      </c>
      <c r="B60" s="75" t="s">
        <v>654</v>
      </c>
      <c r="C60" s="54">
        <v>181000</v>
      </c>
      <c r="D60" s="54" t="s">
        <v>76</v>
      </c>
      <c r="E60" s="54" t="s">
        <v>139</v>
      </c>
      <c r="F60" s="79"/>
      <c r="G60" s="61">
        <v>0</v>
      </c>
      <c r="H60" s="56">
        <v>0</v>
      </c>
      <c r="I60" s="56"/>
      <c r="J60" s="58">
        <v>0</v>
      </c>
      <c r="K60" s="56">
        <v>0</v>
      </c>
      <c r="L60" s="56">
        <v>0</v>
      </c>
      <c r="M60" s="61">
        <f t="shared" si="7"/>
        <v>0</v>
      </c>
      <c r="N60" s="56">
        <v>0</v>
      </c>
      <c r="O60" s="56">
        <v>0</v>
      </c>
      <c r="P60" s="58">
        <v>0</v>
      </c>
      <c r="Q60" s="58">
        <v>0</v>
      </c>
      <c r="R60" s="58">
        <v>0</v>
      </c>
      <c r="S60" s="61">
        <f t="shared" si="8"/>
        <v>0</v>
      </c>
      <c r="T60" s="56"/>
      <c r="U60" s="63">
        <f t="shared" si="9"/>
        <v>0</v>
      </c>
      <c r="V60" s="56">
        <f t="shared" si="10"/>
        <v>0</v>
      </c>
      <c r="W60" s="64">
        <f t="shared" si="11"/>
        <v>0</v>
      </c>
      <c r="X60" s="82"/>
      <c r="Y60" s="82"/>
      <c r="Z60" s="83">
        <f t="shared" si="12"/>
        <v>0</v>
      </c>
    </row>
    <row r="61" spans="1:26">
      <c r="A61" s="74" t="s">
        <v>141</v>
      </c>
      <c r="B61" s="75" t="s">
        <v>655</v>
      </c>
      <c r="C61" s="65">
        <v>182000</v>
      </c>
      <c r="D61" s="65" t="s">
        <v>76</v>
      </c>
      <c r="E61" s="65" t="s">
        <v>137</v>
      </c>
      <c r="F61" s="79"/>
      <c r="G61" s="61">
        <v>-533742</v>
      </c>
      <c r="H61" s="56">
        <v>0</v>
      </c>
      <c r="I61" s="56"/>
      <c r="J61" s="58">
        <v>0</v>
      </c>
      <c r="K61" s="56">
        <v>0</v>
      </c>
      <c r="L61" s="56">
        <v>0</v>
      </c>
      <c r="M61" s="61">
        <f t="shared" si="7"/>
        <v>-533742</v>
      </c>
      <c r="N61" s="56">
        <v>174225</v>
      </c>
      <c r="O61" s="56">
        <v>0</v>
      </c>
      <c r="P61" s="58">
        <v>0</v>
      </c>
      <c r="Q61" s="58">
        <v>0</v>
      </c>
      <c r="R61" s="58">
        <v>0</v>
      </c>
      <c r="S61" s="61">
        <f t="shared" si="8"/>
        <v>-359517</v>
      </c>
      <c r="T61" s="56"/>
      <c r="U61" s="63">
        <f t="shared" si="9"/>
        <v>0</v>
      </c>
      <c r="V61" s="56">
        <f t="shared" si="10"/>
        <v>139852.11299999998</v>
      </c>
      <c r="W61" s="64">
        <f t="shared" si="11"/>
        <v>-139852.11299999998</v>
      </c>
      <c r="Z61" s="11">
        <f t="shared" si="12"/>
        <v>0</v>
      </c>
    </row>
    <row r="62" spans="1:26" ht="15">
      <c r="A62" s="74" t="s">
        <v>142</v>
      </c>
      <c r="B62" s="75" t="s">
        <v>656</v>
      </c>
      <c r="C62" s="54">
        <v>182000</v>
      </c>
      <c r="D62" s="54" t="s">
        <v>76</v>
      </c>
      <c r="E62" s="54" t="s">
        <v>137</v>
      </c>
      <c r="F62" s="79"/>
      <c r="G62" s="61">
        <v>0</v>
      </c>
      <c r="H62" s="56">
        <v>0</v>
      </c>
      <c r="I62" s="56"/>
      <c r="J62" s="58">
        <v>0</v>
      </c>
      <c r="K62" s="56">
        <v>0</v>
      </c>
      <c r="L62" s="56">
        <v>0</v>
      </c>
      <c r="M62" s="61">
        <f t="shared" si="7"/>
        <v>0</v>
      </c>
      <c r="N62" s="56">
        <v>0</v>
      </c>
      <c r="O62" s="56">
        <v>0</v>
      </c>
      <c r="P62" s="58">
        <v>0</v>
      </c>
      <c r="Q62" s="58">
        <v>0</v>
      </c>
      <c r="R62" s="58">
        <v>0</v>
      </c>
      <c r="S62" s="61">
        <f t="shared" si="8"/>
        <v>0</v>
      </c>
      <c r="T62" s="56"/>
      <c r="U62" s="63">
        <f t="shared" si="9"/>
        <v>0</v>
      </c>
      <c r="V62" s="56">
        <f t="shared" si="10"/>
        <v>0</v>
      </c>
      <c r="W62" s="64">
        <f t="shared" si="11"/>
        <v>0</v>
      </c>
      <c r="X62" s="77"/>
      <c r="Y62" s="77"/>
      <c r="Z62" s="78">
        <f t="shared" si="12"/>
        <v>0</v>
      </c>
    </row>
    <row r="63" spans="1:26" ht="15">
      <c r="A63" s="74" t="s">
        <v>143</v>
      </c>
      <c r="B63" s="75" t="s">
        <v>144</v>
      </c>
      <c r="C63" s="54">
        <v>182000</v>
      </c>
      <c r="D63" s="54" t="s">
        <v>145</v>
      </c>
      <c r="E63" s="54" t="s">
        <v>146</v>
      </c>
      <c r="F63" s="79"/>
      <c r="G63" s="61">
        <v>198103</v>
      </c>
      <c r="H63" s="56">
        <v>70599</v>
      </c>
      <c r="I63" s="56"/>
      <c r="J63" s="58">
        <v>0</v>
      </c>
      <c r="K63" s="56">
        <v>0</v>
      </c>
      <c r="L63" s="56">
        <v>0</v>
      </c>
      <c r="M63" s="61">
        <f t="shared" si="7"/>
        <v>268702</v>
      </c>
      <c r="N63" s="56">
        <v>0</v>
      </c>
      <c r="O63" s="56">
        <v>0</v>
      </c>
      <c r="P63" s="58">
        <v>0</v>
      </c>
      <c r="Q63" s="58">
        <v>0</v>
      </c>
      <c r="R63" s="58">
        <v>0</v>
      </c>
      <c r="S63" s="61">
        <f t="shared" si="8"/>
        <v>268702</v>
      </c>
      <c r="T63" s="56"/>
      <c r="U63" s="63">
        <f t="shared" si="9"/>
        <v>104525.07799999999</v>
      </c>
      <c r="V63" s="56">
        <f t="shared" si="10"/>
        <v>0</v>
      </c>
      <c r="W63" s="64">
        <f t="shared" si="11"/>
        <v>104525.07799999999</v>
      </c>
      <c r="X63" s="77"/>
      <c r="Y63" s="77"/>
      <c r="Z63" s="78">
        <f t="shared" si="12"/>
        <v>0</v>
      </c>
    </row>
    <row r="64" spans="1:26" ht="15">
      <c r="A64" s="74" t="s">
        <v>147</v>
      </c>
      <c r="B64" s="75" t="s">
        <v>657</v>
      </c>
      <c r="C64" s="54">
        <v>183280</v>
      </c>
      <c r="D64" s="54" t="s">
        <v>76</v>
      </c>
      <c r="E64" s="54" t="s">
        <v>148</v>
      </c>
      <c r="F64" s="79"/>
      <c r="G64" s="61">
        <v>213362</v>
      </c>
      <c r="H64" s="56">
        <v>0</v>
      </c>
      <c r="I64" s="56"/>
      <c r="J64" s="58">
        <v>0</v>
      </c>
      <c r="K64" s="56">
        <v>0</v>
      </c>
      <c r="L64" s="56">
        <v>0</v>
      </c>
      <c r="M64" s="61">
        <f t="shared" si="7"/>
        <v>213362</v>
      </c>
      <c r="N64" s="56">
        <v>0</v>
      </c>
      <c r="O64" s="56">
        <v>0</v>
      </c>
      <c r="P64" s="58">
        <v>0</v>
      </c>
      <c r="Q64" s="58">
        <v>0</v>
      </c>
      <c r="R64" s="58">
        <v>0</v>
      </c>
      <c r="S64" s="61">
        <f t="shared" si="8"/>
        <v>213362</v>
      </c>
      <c r="T64" s="56"/>
      <c r="U64" s="63">
        <f t="shared" si="9"/>
        <v>82997.817999999985</v>
      </c>
      <c r="V64" s="56">
        <f t="shared" si="10"/>
        <v>0</v>
      </c>
      <c r="W64" s="64">
        <f t="shared" si="11"/>
        <v>82997.817999999985</v>
      </c>
      <c r="X64" s="77"/>
      <c r="Y64" s="77"/>
      <c r="Z64" s="78">
        <f t="shared" si="12"/>
        <v>0</v>
      </c>
    </row>
    <row r="65" spans="1:26" ht="15">
      <c r="A65" s="74" t="s">
        <v>149</v>
      </c>
      <c r="B65" s="75" t="s">
        <v>658</v>
      </c>
      <c r="C65" s="54">
        <v>183280</v>
      </c>
      <c r="D65" s="54" t="s">
        <v>76</v>
      </c>
      <c r="E65" s="54" t="s">
        <v>148</v>
      </c>
      <c r="F65" s="79"/>
      <c r="G65" s="61">
        <v>0</v>
      </c>
      <c r="H65" s="56">
        <v>0</v>
      </c>
      <c r="I65" s="56"/>
      <c r="J65" s="58">
        <v>0</v>
      </c>
      <c r="K65" s="56">
        <v>0</v>
      </c>
      <c r="L65" s="56">
        <v>0</v>
      </c>
      <c r="M65" s="61">
        <f t="shared" si="7"/>
        <v>0</v>
      </c>
      <c r="N65" s="56">
        <v>0</v>
      </c>
      <c r="O65" s="56">
        <v>0</v>
      </c>
      <c r="P65" s="58">
        <v>0</v>
      </c>
      <c r="Q65" s="58">
        <v>0</v>
      </c>
      <c r="R65" s="58">
        <v>0</v>
      </c>
      <c r="S65" s="61">
        <f t="shared" si="8"/>
        <v>0</v>
      </c>
      <c r="T65" s="56"/>
      <c r="U65" s="63">
        <f t="shared" si="9"/>
        <v>0</v>
      </c>
      <c r="V65" s="56">
        <f t="shared" si="10"/>
        <v>0</v>
      </c>
      <c r="W65" s="64">
        <f t="shared" si="11"/>
        <v>0</v>
      </c>
      <c r="X65" s="77"/>
      <c r="Y65" s="77"/>
      <c r="Z65" s="78">
        <f t="shared" si="12"/>
        <v>0</v>
      </c>
    </row>
    <row r="66" spans="1:26" ht="15">
      <c r="A66" s="74" t="s">
        <v>150</v>
      </c>
      <c r="B66" s="75" t="s">
        <v>659</v>
      </c>
      <c r="C66" s="54">
        <v>183281</v>
      </c>
      <c r="D66" s="54" t="s">
        <v>76</v>
      </c>
      <c r="E66" s="54" t="s">
        <v>148</v>
      </c>
      <c r="F66" s="79"/>
      <c r="G66" s="61">
        <v>437167.42027861951</v>
      </c>
      <c r="H66" s="56">
        <v>0</v>
      </c>
      <c r="I66" s="56"/>
      <c r="J66" s="58">
        <v>0</v>
      </c>
      <c r="K66" s="56">
        <v>0</v>
      </c>
      <c r="L66" s="56">
        <v>0</v>
      </c>
      <c r="M66" s="61">
        <f t="shared" si="7"/>
        <v>437167.42027861951</v>
      </c>
      <c r="N66" s="56">
        <v>0</v>
      </c>
      <c r="O66" s="56">
        <v>0</v>
      </c>
      <c r="P66" s="58">
        <v>0</v>
      </c>
      <c r="Q66" s="58">
        <v>0</v>
      </c>
      <c r="R66" s="58">
        <v>0</v>
      </c>
      <c r="S66" s="61">
        <f t="shared" si="8"/>
        <v>437167.42027861951</v>
      </c>
      <c r="T66" s="56"/>
      <c r="U66" s="63">
        <f t="shared" si="9"/>
        <v>170058.12648838296</v>
      </c>
      <c r="V66" s="56">
        <f t="shared" si="10"/>
        <v>0</v>
      </c>
      <c r="W66" s="64">
        <f t="shared" si="11"/>
        <v>170058.12648838296</v>
      </c>
      <c r="X66" s="77"/>
      <c r="Y66" s="77"/>
      <c r="Z66" s="78">
        <f t="shared" si="12"/>
        <v>0</v>
      </c>
    </row>
    <row r="67" spans="1:26" ht="15">
      <c r="A67" s="74" t="s">
        <v>151</v>
      </c>
      <c r="B67" s="75" t="s">
        <v>660</v>
      </c>
      <c r="C67" s="54">
        <v>183281</v>
      </c>
      <c r="D67" s="54" t="s">
        <v>76</v>
      </c>
      <c r="E67" s="54" t="s">
        <v>148</v>
      </c>
      <c r="F67" s="79"/>
      <c r="G67" s="61">
        <v>0</v>
      </c>
      <c r="H67" s="56">
        <v>0</v>
      </c>
      <c r="I67" s="56"/>
      <c r="J67" s="58">
        <v>0</v>
      </c>
      <c r="K67" s="56">
        <v>0</v>
      </c>
      <c r="L67" s="56">
        <v>0</v>
      </c>
      <c r="M67" s="61">
        <f t="shared" si="7"/>
        <v>0</v>
      </c>
      <c r="N67" s="56">
        <v>0</v>
      </c>
      <c r="O67" s="56">
        <v>0</v>
      </c>
      <c r="P67" s="58">
        <v>0</v>
      </c>
      <c r="Q67" s="58">
        <v>0</v>
      </c>
      <c r="R67" s="58">
        <v>0</v>
      </c>
      <c r="S67" s="61">
        <f t="shared" si="8"/>
        <v>0</v>
      </c>
      <c r="T67" s="56"/>
      <c r="U67" s="63">
        <f t="shared" si="9"/>
        <v>0</v>
      </c>
      <c r="V67" s="56">
        <f t="shared" si="10"/>
        <v>0</v>
      </c>
      <c r="W67" s="64">
        <f t="shared" si="11"/>
        <v>0</v>
      </c>
      <c r="X67" s="77"/>
      <c r="Y67" s="77"/>
      <c r="Z67" s="78">
        <f t="shared" si="12"/>
        <v>0</v>
      </c>
    </row>
    <row r="68" spans="1:26" ht="15">
      <c r="A68" s="74" t="s">
        <v>152</v>
      </c>
      <c r="B68" s="75" t="s">
        <v>661</v>
      </c>
      <c r="C68" s="54">
        <v>185035</v>
      </c>
      <c r="D68" s="54" t="s">
        <v>93</v>
      </c>
      <c r="E68" s="54" t="s">
        <v>153</v>
      </c>
      <c r="F68" s="79"/>
      <c r="G68" s="61">
        <v>-5046191</v>
      </c>
      <c r="H68" s="56">
        <v>-865376</v>
      </c>
      <c r="I68" s="56"/>
      <c r="J68" s="58">
        <v>0</v>
      </c>
      <c r="K68" s="56">
        <v>0</v>
      </c>
      <c r="L68" s="56">
        <v>0</v>
      </c>
      <c r="M68" s="61">
        <f t="shared" si="7"/>
        <v>-5911567</v>
      </c>
      <c r="N68" s="56">
        <v>0</v>
      </c>
      <c r="O68" s="56">
        <v>0</v>
      </c>
      <c r="P68" s="58">
        <v>0</v>
      </c>
      <c r="Q68" s="58">
        <v>0</v>
      </c>
      <c r="R68" s="58">
        <v>0</v>
      </c>
      <c r="S68" s="61">
        <f t="shared" si="8"/>
        <v>-5911567</v>
      </c>
      <c r="T68" s="56"/>
      <c r="U68" s="63">
        <f t="shared" si="9"/>
        <v>0</v>
      </c>
      <c r="V68" s="56">
        <f t="shared" si="10"/>
        <v>2299599.5629999996</v>
      </c>
      <c r="W68" s="64">
        <f t="shared" si="11"/>
        <v>-2299599.5629999996</v>
      </c>
      <c r="X68" s="77"/>
      <c r="Y68" s="77"/>
      <c r="Z68" s="78">
        <f t="shared" si="12"/>
        <v>0</v>
      </c>
    </row>
    <row r="69" spans="1:26" ht="15">
      <c r="A69" s="74" t="s">
        <v>154</v>
      </c>
      <c r="B69" s="75" t="s">
        <v>662</v>
      </c>
      <c r="C69" s="54">
        <v>185055</v>
      </c>
      <c r="D69" s="54" t="s">
        <v>93</v>
      </c>
      <c r="E69" s="54" t="s">
        <v>155</v>
      </c>
      <c r="F69" s="79"/>
      <c r="G69" s="61">
        <v>657090</v>
      </c>
      <c r="H69" s="56">
        <v>6900</v>
      </c>
      <c r="I69" s="56"/>
      <c r="J69" s="58">
        <v>0</v>
      </c>
      <c r="K69" s="56">
        <v>0</v>
      </c>
      <c r="L69" s="56">
        <v>0</v>
      </c>
      <c r="M69" s="61">
        <f t="shared" si="7"/>
        <v>663990</v>
      </c>
      <c r="N69" s="56">
        <v>131622</v>
      </c>
      <c r="O69" s="56">
        <v>0</v>
      </c>
      <c r="P69" s="58">
        <v>0</v>
      </c>
      <c r="Q69" s="58">
        <v>0</v>
      </c>
      <c r="R69" s="58">
        <v>0</v>
      </c>
      <c r="S69" s="61">
        <f t="shared" si="8"/>
        <v>795612</v>
      </c>
      <c r="T69" s="56"/>
      <c r="U69" s="63">
        <f t="shared" si="9"/>
        <v>309493.06799999997</v>
      </c>
      <c r="V69" s="56">
        <f t="shared" si="10"/>
        <v>0</v>
      </c>
      <c r="W69" s="64">
        <f t="shared" si="11"/>
        <v>309493.06799999997</v>
      </c>
      <c r="X69" s="76"/>
      <c r="Y69" s="77"/>
      <c r="Z69" s="78">
        <f t="shared" si="12"/>
        <v>0</v>
      </c>
    </row>
    <row r="70" spans="1:26" ht="15">
      <c r="A70" s="74" t="s">
        <v>156</v>
      </c>
      <c r="B70" s="75" t="s">
        <v>663</v>
      </c>
      <c r="C70" s="54">
        <v>185055</v>
      </c>
      <c r="D70" s="54" t="s">
        <v>93</v>
      </c>
      <c r="E70" s="54" t="s">
        <v>155</v>
      </c>
      <c r="F70" s="79"/>
      <c r="G70" s="61">
        <v>0</v>
      </c>
      <c r="H70" s="56">
        <v>0</v>
      </c>
      <c r="I70" s="56"/>
      <c r="J70" s="58">
        <v>0</v>
      </c>
      <c r="K70" s="56">
        <v>0</v>
      </c>
      <c r="L70" s="56">
        <v>0</v>
      </c>
      <c r="M70" s="61">
        <f t="shared" si="7"/>
        <v>0</v>
      </c>
      <c r="N70" s="56">
        <v>0</v>
      </c>
      <c r="O70" s="56">
        <v>0</v>
      </c>
      <c r="P70" s="58">
        <v>0</v>
      </c>
      <c r="Q70" s="58">
        <v>0</v>
      </c>
      <c r="R70" s="58">
        <v>0</v>
      </c>
      <c r="S70" s="61">
        <f t="shared" si="8"/>
        <v>0</v>
      </c>
      <c r="T70" s="56"/>
      <c r="U70" s="63">
        <f t="shared" si="9"/>
        <v>0</v>
      </c>
      <c r="V70" s="56">
        <f t="shared" si="10"/>
        <v>0</v>
      </c>
      <c r="W70" s="64">
        <f t="shared" si="11"/>
        <v>0</v>
      </c>
      <c r="X70" s="77"/>
      <c r="Y70" s="77"/>
      <c r="Z70" s="78">
        <f t="shared" si="12"/>
        <v>0</v>
      </c>
    </row>
    <row r="71" spans="1:26" ht="15">
      <c r="A71" s="74" t="s">
        <v>157</v>
      </c>
      <c r="B71" s="75" t="s">
        <v>664</v>
      </c>
      <c r="C71" s="54">
        <v>186000</v>
      </c>
      <c r="D71" s="54" t="s">
        <v>76</v>
      </c>
      <c r="E71" s="54" t="s">
        <v>137</v>
      </c>
      <c r="F71" s="79"/>
      <c r="G71" s="61">
        <v>-1926939</v>
      </c>
      <c r="H71" s="56">
        <v>0</v>
      </c>
      <c r="I71" s="56"/>
      <c r="J71" s="58">
        <f>-132/G308</f>
        <v>-339.33161953727512</v>
      </c>
      <c r="K71" s="56">
        <v>0</v>
      </c>
      <c r="L71" s="56">
        <v>0</v>
      </c>
      <c r="M71" s="61">
        <f t="shared" si="7"/>
        <v>-1927278.3316195372</v>
      </c>
      <c r="N71" s="56">
        <v>57080</v>
      </c>
      <c r="O71" s="56">
        <v>0</v>
      </c>
      <c r="P71" s="58">
        <v>0</v>
      </c>
      <c r="Q71" s="58">
        <v>0</v>
      </c>
      <c r="R71" s="58">
        <v>0</v>
      </c>
      <c r="S71" s="61">
        <f t="shared" si="8"/>
        <v>-1870198.3316195372</v>
      </c>
      <c r="T71" s="56"/>
      <c r="U71" s="63">
        <f t="shared" si="9"/>
        <v>0</v>
      </c>
      <c r="V71" s="56">
        <f t="shared" si="10"/>
        <v>727507.15099999984</v>
      </c>
      <c r="W71" s="64">
        <f t="shared" si="11"/>
        <v>-727507.15099999984</v>
      </c>
      <c r="X71" s="77"/>
      <c r="Y71" s="77"/>
      <c r="Z71" s="78">
        <f t="shared" si="12"/>
        <v>0</v>
      </c>
    </row>
    <row r="72" spans="1:26" ht="15">
      <c r="A72" s="74" t="s">
        <v>158</v>
      </c>
      <c r="B72" s="75" t="s">
        <v>665</v>
      </c>
      <c r="C72" s="54">
        <v>186000</v>
      </c>
      <c r="D72" s="54" t="s">
        <v>76</v>
      </c>
      <c r="E72" s="54" t="s">
        <v>137</v>
      </c>
      <c r="F72" s="79"/>
      <c r="G72" s="61">
        <v>208320</v>
      </c>
      <c r="H72" s="56">
        <v>0</v>
      </c>
      <c r="I72" s="56"/>
      <c r="J72" s="58">
        <v>0</v>
      </c>
      <c r="K72" s="56">
        <v>0</v>
      </c>
      <c r="L72" s="56">
        <v>0</v>
      </c>
      <c r="M72" s="61">
        <f t="shared" si="7"/>
        <v>208320</v>
      </c>
      <c r="N72" s="56">
        <v>0</v>
      </c>
      <c r="O72" s="56">
        <v>0</v>
      </c>
      <c r="P72" s="58">
        <v>0</v>
      </c>
      <c r="Q72" s="58">
        <v>0</v>
      </c>
      <c r="R72" s="58">
        <v>0</v>
      </c>
      <c r="S72" s="61">
        <f t="shared" si="8"/>
        <v>208320</v>
      </c>
      <c r="T72" s="56"/>
      <c r="U72" s="63">
        <f t="shared" si="9"/>
        <v>81036.479999999996</v>
      </c>
      <c r="V72" s="56">
        <f t="shared" si="10"/>
        <v>0</v>
      </c>
      <c r="W72" s="64">
        <f t="shared" si="11"/>
        <v>81036.479999999996</v>
      </c>
      <c r="X72" s="77"/>
      <c r="Y72" s="77"/>
      <c r="Z72" s="78">
        <f t="shared" si="12"/>
        <v>0</v>
      </c>
    </row>
    <row r="73" spans="1:26">
      <c r="A73" s="74" t="s">
        <v>159</v>
      </c>
      <c r="B73" s="75" t="s">
        <v>666</v>
      </c>
      <c r="C73" s="54">
        <v>186000</v>
      </c>
      <c r="D73" s="54" t="s">
        <v>76</v>
      </c>
      <c r="E73" s="54" t="s">
        <v>137</v>
      </c>
      <c r="F73" s="79"/>
      <c r="G73" s="61">
        <v>-54911</v>
      </c>
      <c r="H73" s="56">
        <v>0</v>
      </c>
      <c r="I73" s="56"/>
      <c r="J73" s="58">
        <v>0</v>
      </c>
      <c r="K73" s="56">
        <v>0</v>
      </c>
      <c r="L73" s="56">
        <v>0</v>
      </c>
      <c r="M73" s="61">
        <f t="shared" si="7"/>
        <v>-54911</v>
      </c>
      <c r="N73" s="56">
        <v>0</v>
      </c>
      <c r="O73" s="56">
        <v>0</v>
      </c>
      <c r="P73" s="58">
        <v>0</v>
      </c>
      <c r="Q73" s="58">
        <v>0</v>
      </c>
      <c r="R73" s="58">
        <v>0</v>
      </c>
      <c r="S73" s="61">
        <f t="shared" si="8"/>
        <v>-54911</v>
      </c>
      <c r="T73" s="56"/>
      <c r="U73" s="63">
        <f t="shared" si="9"/>
        <v>0</v>
      </c>
      <c r="V73" s="56">
        <f t="shared" si="10"/>
        <v>21360.378999999997</v>
      </c>
      <c r="W73" s="64">
        <f t="shared" si="11"/>
        <v>-21360.378999999997</v>
      </c>
      <c r="X73" s="58"/>
      <c r="Z73" s="11">
        <f t="shared" si="12"/>
        <v>0</v>
      </c>
    </row>
    <row r="74" spans="1:26">
      <c r="A74" s="74" t="s">
        <v>160</v>
      </c>
      <c r="B74" s="75" t="s">
        <v>667</v>
      </c>
      <c r="C74" s="65">
        <v>186100</v>
      </c>
      <c r="D74" s="65" t="s">
        <v>76</v>
      </c>
      <c r="E74" s="65" t="s">
        <v>137</v>
      </c>
      <c r="F74" s="79"/>
      <c r="G74" s="61">
        <v>0</v>
      </c>
      <c r="H74" s="56">
        <v>0</v>
      </c>
      <c r="I74" s="56"/>
      <c r="J74" s="58">
        <v>0</v>
      </c>
      <c r="K74" s="56">
        <v>0</v>
      </c>
      <c r="L74" s="56">
        <v>0</v>
      </c>
      <c r="M74" s="61">
        <f t="shared" si="7"/>
        <v>0</v>
      </c>
      <c r="N74" s="56">
        <v>0</v>
      </c>
      <c r="O74" s="56">
        <v>0</v>
      </c>
      <c r="P74" s="58">
        <v>0</v>
      </c>
      <c r="Q74" s="58">
        <v>0</v>
      </c>
      <c r="R74" s="58">
        <v>0</v>
      </c>
      <c r="S74" s="61">
        <f t="shared" si="8"/>
        <v>0</v>
      </c>
      <c r="T74" s="56"/>
      <c r="U74" s="63">
        <f t="shared" si="9"/>
        <v>0</v>
      </c>
      <c r="V74" s="56">
        <f t="shared" si="10"/>
        <v>0</v>
      </c>
      <c r="W74" s="64">
        <f t="shared" si="11"/>
        <v>0</v>
      </c>
      <c r="Z74" s="11">
        <f t="shared" si="12"/>
        <v>0</v>
      </c>
    </row>
    <row r="75" spans="1:26" ht="15">
      <c r="A75" s="74" t="s">
        <v>161</v>
      </c>
      <c r="B75" s="75" t="s">
        <v>668</v>
      </c>
      <c r="C75" s="54">
        <v>186401</v>
      </c>
      <c r="D75" s="54" t="s">
        <v>76</v>
      </c>
      <c r="E75" s="54" t="s">
        <v>137</v>
      </c>
      <c r="F75" s="79"/>
      <c r="G75" s="61">
        <v>-2758761</v>
      </c>
      <c r="H75" s="56">
        <v>0</v>
      </c>
      <c r="I75" s="56"/>
      <c r="J75" s="58">
        <v>0</v>
      </c>
      <c r="K75" s="56">
        <v>0</v>
      </c>
      <c r="L75" s="56">
        <v>0</v>
      </c>
      <c r="M75" s="61">
        <f t="shared" si="7"/>
        <v>-2758761</v>
      </c>
      <c r="N75" s="56">
        <v>-450579</v>
      </c>
      <c r="O75" s="56">
        <v>0</v>
      </c>
      <c r="P75" s="58">
        <v>0</v>
      </c>
      <c r="Q75" s="58">
        <v>0</v>
      </c>
      <c r="R75" s="58">
        <v>0</v>
      </c>
      <c r="S75" s="61">
        <f t="shared" si="8"/>
        <v>-3209340</v>
      </c>
      <c r="T75" s="56"/>
      <c r="U75" s="63">
        <f t="shared" si="9"/>
        <v>0</v>
      </c>
      <c r="V75" s="56">
        <f t="shared" si="10"/>
        <v>1248433.2599999998</v>
      </c>
      <c r="W75" s="64">
        <f t="shared" si="11"/>
        <v>-1248433.2599999998</v>
      </c>
      <c r="X75" s="77"/>
      <c r="Y75" s="77"/>
      <c r="Z75" s="78">
        <f t="shared" si="12"/>
        <v>0</v>
      </c>
    </row>
    <row r="76" spans="1:26" ht="15">
      <c r="A76" s="74" t="s">
        <v>162</v>
      </c>
      <c r="B76" s="75" t="s">
        <v>669</v>
      </c>
      <c r="C76" s="54">
        <v>186401</v>
      </c>
      <c r="D76" s="54" t="s">
        <v>76</v>
      </c>
      <c r="E76" s="54" t="s">
        <v>137</v>
      </c>
      <c r="F76" s="79"/>
      <c r="G76" s="61">
        <v>0</v>
      </c>
      <c r="H76" s="56">
        <v>0</v>
      </c>
      <c r="I76" s="56"/>
      <c r="J76" s="58">
        <v>0</v>
      </c>
      <c r="K76" s="56">
        <v>0</v>
      </c>
      <c r="L76" s="56">
        <v>0</v>
      </c>
      <c r="M76" s="61">
        <f t="shared" si="7"/>
        <v>0</v>
      </c>
      <c r="N76" s="56">
        <v>0</v>
      </c>
      <c r="O76" s="56">
        <v>0</v>
      </c>
      <c r="P76" s="58">
        <v>0</v>
      </c>
      <c r="Q76" s="58">
        <v>0</v>
      </c>
      <c r="R76" s="58">
        <v>0</v>
      </c>
      <c r="S76" s="61">
        <f t="shared" si="8"/>
        <v>0</v>
      </c>
      <c r="T76" s="56"/>
      <c r="U76" s="63">
        <f t="shared" si="9"/>
        <v>0</v>
      </c>
      <c r="V76" s="56">
        <f t="shared" si="10"/>
        <v>0</v>
      </c>
      <c r="W76" s="64">
        <f t="shared" si="11"/>
        <v>0</v>
      </c>
      <c r="X76" s="77"/>
      <c r="Y76" s="77"/>
      <c r="Z76" s="78">
        <f t="shared" si="12"/>
        <v>0</v>
      </c>
    </row>
    <row r="77" spans="1:26" ht="15">
      <c r="A77" s="74" t="s">
        <v>163</v>
      </c>
      <c r="B77" s="75" t="s">
        <v>670</v>
      </c>
      <c r="C77" s="54">
        <v>186402</v>
      </c>
      <c r="D77" s="54" t="s">
        <v>76</v>
      </c>
      <c r="E77" s="54" t="s">
        <v>137</v>
      </c>
      <c r="F77" s="79"/>
      <c r="G77" s="61">
        <v>0</v>
      </c>
      <c r="H77" s="56">
        <v>0</v>
      </c>
      <c r="I77" s="56"/>
      <c r="J77" s="58">
        <v>0</v>
      </c>
      <c r="K77" s="56">
        <v>0</v>
      </c>
      <c r="L77" s="56">
        <v>0</v>
      </c>
      <c r="M77" s="61">
        <f t="shared" si="7"/>
        <v>0</v>
      </c>
      <c r="N77" s="56">
        <v>0</v>
      </c>
      <c r="O77" s="56">
        <v>0</v>
      </c>
      <c r="P77" s="58">
        <v>0</v>
      </c>
      <c r="Q77" s="58">
        <v>0</v>
      </c>
      <c r="R77" s="58">
        <v>0</v>
      </c>
      <c r="S77" s="61">
        <f t="shared" si="8"/>
        <v>0</v>
      </c>
      <c r="T77" s="56"/>
      <c r="U77" s="63">
        <f t="shared" si="9"/>
        <v>0</v>
      </c>
      <c r="V77" s="56">
        <f t="shared" si="10"/>
        <v>0</v>
      </c>
      <c r="W77" s="64">
        <f t="shared" si="11"/>
        <v>0</v>
      </c>
      <c r="X77" s="77"/>
      <c r="Y77" s="77"/>
      <c r="Z77" s="78">
        <f t="shared" si="12"/>
        <v>0</v>
      </c>
    </row>
    <row r="78" spans="1:26">
      <c r="A78" s="74" t="s">
        <v>164</v>
      </c>
      <c r="B78" s="75" t="s">
        <v>671</v>
      </c>
      <c r="C78" s="65">
        <v>186410</v>
      </c>
      <c r="D78" s="65" t="s">
        <v>68</v>
      </c>
      <c r="E78" s="65" t="s">
        <v>137</v>
      </c>
      <c r="F78" s="79"/>
      <c r="G78" s="61">
        <v>0</v>
      </c>
      <c r="H78" s="56">
        <v>0</v>
      </c>
      <c r="I78" s="56"/>
      <c r="J78" s="58">
        <v>0</v>
      </c>
      <c r="K78" s="56">
        <v>0</v>
      </c>
      <c r="L78" s="56">
        <v>0</v>
      </c>
      <c r="M78" s="61">
        <f t="shared" si="7"/>
        <v>0</v>
      </c>
      <c r="N78" s="56">
        <v>0</v>
      </c>
      <c r="O78" s="56">
        <v>0</v>
      </c>
      <c r="P78" s="58">
        <v>0</v>
      </c>
      <c r="Q78" s="58">
        <v>0</v>
      </c>
      <c r="R78" s="58">
        <v>0</v>
      </c>
      <c r="S78" s="61">
        <f t="shared" si="8"/>
        <v>0</v>
      </c>
      <c r="T78" s="56"/>
      <c r="U78" s="63">
        <f t="shared" si="9"/>
        <v>0</v>
      </c>
      <c r="V78" s="56">
        <f t="shared" si="10"/>
        <v>0</v>
      </c>
      <c r="W78" s="64">
        <f t="shared" si="11"/>
        <v>0</v>
      </c>
      <c r="Z78" s="11">
        <f t="shared" si="12"/>
        <v>0</v>
      </c>
    </row>
    <row r="79" spans="1:26" ht="15">
      <c r="A79" s="74" t="s">
        <v>165</v>
      </c>
      <c r="B79" s="75" t="s">
        <v>672</v>
      </c>
      <c r="C79" s="54">
        <v>186410</v>
      </c>
      <c r="D79" s="54" t="s">
        <v>68</v>
      </c>
      <c r="E79" s="54" t="s">
        <v>137</v>
      </c>
      <c r="F79" s="79"/>
      <c r="G79" s="61">
        <v>0</v>
      </c>
      <c r="H79" s="56">
        <v>0</v>
      </c>
      <c r="I79" s="56"/>
      <c r="J79" s="58">
        <v>0</v>
      </c>
      <c r="K79" s="56">
        <v>0</v>
      </c>
      <c r="L79" s="56">
        <v>0</v>
      </c>
      <c r="M79" s="61">
        <f t="shared" si="7"/>
        <v>0</v>
      </c>
      <c r="N79" s="56">
        <v>0</v>
      </c>
      <c r="O79" s="56">
        <v>0</v>
      </c>
      <c r="P79" s="58">
        <v>0</v>
      </c>
      <c r="Q79" s="58">
        <v>0</v>
      </c>
      <c r="R79" s="58">
        <v>0</v>
      </c>
      <c r="S79" s="61">
        <f t="shared" si="8"/>
        <v>0</v>
      </c>
      <c r="T79" s="56"/>
      <c r="U79" s="63">
        <f t="shared" si="9"/>
        <v>0</v>
      </c>
      <c r="V79" s="56">
        <f t="shared" si="10"/>
        <v>0</v>
      </c>
      <c r="W79" s="64">
        <f t="shared" si="11"/>
        <v>0</v>
      </c>
      <c r="X79" s="77"/>
      <c r="Y79" s="77"/>
      <c r="Z79" s="78">
        <f t="shared" si="12"/>
        <v>0</v>
      </c>
    </row>
    <row r="80" spans="1:26">
      <c r="A80" s="74" t="s">
        <v>166</v>
      </c>
      <c r="B80" s="75" t="s">
        <v>673</v>
      </c>
      <c r="C80" s="65">
        <v>186412</v>
      </c>
      <c r="D80" s="65" t="s">
        <v>76</v>
      </c>
      <c r="E80" s="65" t="s">
        <v>137</v>
      </c>
      <c r="F80" s="79"/>
      <c r="G80" s="61">
        <v>0</v>
      </c>
      <c r="H80" s="56">
        <v>0</v>
      </c>
      <c r="I80" s="56"/>
      <c r="J80" s="58">
        <v>0</v>
      </c>
      <c r="K80" s="56">
        <v>0</v>
      </c>
      <c r="L80" s="56">
        <v>0</v>
      </c>
      <c r="M80" s="61">
        <f t="shared" si="7"/>
        <v>0</v>
      </c>
      <c r="N80" s="56">
        <v>0</v>
      </c>
      <c r="O80" s="56">
        <v>0</v>
      </c>
      <c r="P80" s="58">
        <v>0</v>
      </c>
      <c r="Q80" s="58">
        <v>0</v>
      </c>
      <c r="R80" s="58">
        <v>0</v>
      </c>
      <c r="S80" s="61">
        <f t="shared" si="8"/>
        <v>0</v>
      </c>
      <c r="T80" s="56"/>
      <c r="U80" s="63">
        <f t="shared" si="9"/>
        <v>0</v>
      </c>
      <c r="V80" s="56">
        <f t="shared" si="10"/>
        <v>0</v>
      </c>
      <c r="W80" s="64">
        <f t="shared" si="11"/>
        <v>0</v>
      </c>
      <c r="Z80" s="11">
        <f t="shared" si="12"/>
        <v>0</v>
      </c>
    </row>
    <row r="81" spans="1:26">
      <c r="A81" s="74" t="s">
        <v>167</v>
      </c>
      <c r="B81" s="75" t="s">
        <v>674</v>
      </c>
      <c r="C81" s="65">
        <v>186412</v>
      </c>
      <c r="D81" s="65" t="s">
        <v>76</v>
      </c>
      <c r="E81" s="65" t="s">
        <v>137</v>
      </c>
      <c r="F81" s="79"/>
      <c r="G81" s="61">
        <v>0</v>
      </c>
      <c r="H81" s="56">
        <v>0</v>
      </c>
      <c r="I81" s="56"/>
      <c r="J81" s="58">
        <v>0</v>
      </c>
      <c r="K81" s="56">
        <v>0</v>
      </c>
      <c r="L81" s="56">
        <v>0</v>
      </c>
      <c r="M81" s="61">
        <f t="shared" si="7"/>
        <v>0</v>
      </c>
      <c r="N81" s="56">
        <v>0</v>
      </c>
      <c r="O81" s="56">
        <v>0</v>
      </c>
      <c r="P81" s="58">
        <v>0</v>
      </c>
      <c r="Q81" s="58">
        <v>0</v>
      </c>
      <c r="R81" s="58">
        <v>0</v>
      </c>
      <c r="S81" s="61">
        <f t="shared" si="8"/>
        <v>0</v>
      </c>
      <c r="T81" s="56"/>
      <c r="U81" s="63">
        <f t="shared" si="9"/>
        <v>0</v>
      </c>
      <c r="V81" s="56">
        <f t="shared" si="10"/>
        <v>0</v>
      </c>
      <c r="W81" s="64">
        <f t="shared" si="11"/>
        <v>0</v>
      </c>
      <c r="X81" s="58"/>
      <c r="Z81" s="11">
        <f t="shared" si="12"/>
        <v>0</v>
      </c>
    </row>
    <row r="82" spans="1:26" ht="15">
      <c r="A82" s="74" t="s">
        <v>168</v>
      </c>
      <c r="B82" s="75" t="s">
        <v>675</v>
      </c>
      <c r="C82" s="54">
        <v>186414</v>
      </c>
      <c r="D82" s="54" t="s">
        <v>68</v>
      </c>
      <c r="E82" s="54" t="s">
        <v>169</v>
      </c>
      <c r="F82" s="79"/>
      <c r="G82" s="61">
        <v>0</v>
      </c>
      <c r="H82" s="56">
        <v>0</v>
      </c>
      <c r="I82" s="56"/>
      <c r="J82" s="58">
        <v>0</v>
      </c>
      <c r="K82" s="56">
        <v>0</v>
      </c>
      <c r="L82" s="56">
        <v>0</v>
      </c>
      <c r="M82" s="61">
        <f t="shared" si="7"/>
        <v>0</v>
      </c>
      <c r="N82" s="56">
        <v>0</v>
      </c>
      <c r="O82" s="56">
        <v>0</v>
      </c>
      <c r="P82" s="58">
        <v>0</v>
      </c>
      <c r="Q82" s="58">
        <v>0</v>
      </c>
      <c r="R82" s="58">
        <v>0</v>
      </c>
      <c r="S82" s="61">
        <f t="shared" si="8"/>
        <v>0</v>
      </c>
      <c r="T82" s="56"/>
      <c r="U82" s="63">
        <f t="shared" si="9"/>
        <v>0</v>
      </c>
      <c r="V82" s="56">
        <f t="shared" si="10"/>
        <v>0</v>
      </c>
      <c r="W82" s="64">
        <f t="shared" si="11"/>
        <v>0</v>
      </c>
      <c r="X82" s="77"/>
      <c r="Y82" s="77"/>
      <c r="Z82" s="78">
        <f t="shared" si="12"/>
        <v>0</v>
      </c>
    </row>
    <row r="83" spans="1:26" ht="15">
      <c r="A83" s="74" t="s">
        <v>170</v>
      </c>
      <c r="B83" s="75" t="s">
        <v>676</v>
      </c>
      <c r="C83" s="54">
        <v>186415</v>
      </c>
      <c r="D83" s="54" t="s">
        <v>68</v>
      </c>
      <c r="E83" s="54" t="s">
        <v>169</v>
      </c>
      <c r="F83" s="79"/>
      <c r="G83" s="61">
        <v>0</v>
      </c>
      <c r="H83" s="56">
        <v>0</v>
      </c>
      <c r="I83" s="56"/>
      <c r="J83" s="58">
        <v>0</v>
      </c>
      <c r="K83" s="56">
        <v>0</v>
      </c>
      <c r="L83" s="56">
        <v>0</v>
      </c>
      <c r="M83" s="61">
        <f t="shared" si="7"/>
        <v>0</v>
      </c>
      <c r="N83" s="56">
        <v>0</v>
      </c>
      <c r="O83" s="56">
        <v>0</v>
      </c>
      <c r="P83" s="58">
        <v>0</v>
      </c>
      <c r="Q83" s="58">
        <v>0</v>
      </c>
      <c r="R83" s="58">
        <v>0</v>
      </c>
      <c r="S83" s="61">
        <f t="shared" si="8"/>
        <v>0</v>
      </c>
      <c r="T83" s="56"/>
      <c r="U83" s="63">
        <f t="shared" si="9"/>
        <v>0</v>
      </c>
      <c r="V83" s="56">
        <f t="shared" si="10"/>
        <v>0</v>
      </c>
      <c r="W83" s="64">
        <f t="shared" si="11"/>
        <v>0</v>
      </c>
      <c r="X83" s="77"/>
      <c r="Y83" s="77"/>
      <c r="Z83" s="78">
        <f t="shared" si="12"/>
        <v>0</v>
      </c>
    </row>
    <row r="84" spans="1:26" ht="15">
      <c r="A84" s="74" t="s">
        <v>171</v>
      </c>
      <c r="B84" s="75" t="s">
        <v>677</v>
      </c>
      <c r="C84" s="54">
        <v>186417</v>
      </c>
      <c r="D84" s="54" t="s">
        <v>172</v>
      </c>
      <c r="E84" s="54" t="s">
        <v>173</v>
      </c>
      <c r="F84" s="79"/>
      <c r="G84" s="61">
        <v>400961.43855499383</v>
      </c>
      <c r="H84" s="56">
        <v>-134014</v>
      </c>
      <c r="I84" s="56"/>
      <c r="J84" s="58">
        <v>0</v>
      </c>
      <c r="K84" s="56">
        <v>0</v>
      </c>
      <c r="L84" s="56">
        <v>0</v>
      </c>
      <c r="M84" s="61">
        <f t="shared" si="7"/>
        <v>266947.43855499383</v>
      </c>
      <c r="N84" s="56">
        <v>0</v>
      </c>
      <c r="O84" s="56">
        <v>0</v>
      </c>
      <c r="P84" s="58">
        <v>0</v>
      </c>
      <c r="Q84" s="58">
        <v>0</v>
      </c>
      <c r="R84" s="58">
        <v>0</v>
      </c>
      <c r="S84" s="61">
        <f t="shared" si="8"/>
        <v>266947.43855499383</v>
      </c>
      <c r="T84" s="56"/>
      <c r="U84" s="63">
        <f t="shared" si="9"/>
        <v>103842.55359789259</v>
      </c>
      <c r="V84" s="56">
        <f t="shared" si="10"/>
        <v>0</v>
      </c>
      <c r="W84" s="64">
        <f t="shared" si="11"/>
        <v>103842.55359789259</v>
      </c>
      <c r="X84" s="77"/>
      <c r="Y84" s="77"/>
      <c r="Z84" s="78">
        <f t="shared" si="12"/>
        <v>0</v>
      </c>
    </row>
    <row r="85" spans="1:26" ht="15">
      <c r="A85" s="74" t="s">
        <v>174</v>
      </c>
      <c r="B85" s="75" t="s">
        <v>678</v>
      </c>
      <c r="C85" s="54">
        <v>186422</v>
      </c>
      <c r="D85" s="54" t="s">
        <v>175</v>
      </c>
      <c r="E85" s="54" t="s">
        <v>176</v>
      </c>
      <c r="F85" s="79"/>
      <c r="G85" s="61">
        <v>-2398532.73</v>
      </c>
      <c r="H85" s="56">
        <v>-136064</v>
      </c>
      <c r="I85" s="56"/>
      <c r="J85" s="58">
        <v>0</v>
      </c>
      <c r="K85" s="56">
        <v>0</v>
      </c>
      <c r="L85" s="56">
        <v>0</v>
      </c>
      <c r="M85" s="61">
        <f t="shared" si="7"/>
        <v>-2534596.73</v>
      </c>
      <c r="N85" s="56">
        <v>-2328913</v>
      </c>
      <c r="O85" s="56">
        <v>0</v>
      </c>
      <c r="P85" s="58">
        <v>0</v>
      </c>
      <c r="Q85" s="58">
        <v>0</v>
      </c>
      <c r="R85" s="58">
        <v>0</v>
      </c>
      <c r="S85" s="61">
        <f t="shared" si="8"/>
        <v>-4863509.7300000004</v>
      </c>
      <c r="T85" s="56"/>
      <c r="U85" s="63">
        <f t="shared" si="9"/>
        <v>0</v>
      </c>
      <c r="V85" s="56">
        <f t="shared" si="10"/>
        <v>1891905.2849699999</v>
      </c>
      <c r="W85" s="64">
        <f t="shared" si="11"/>
        <v>-1891905.2849699999</v>
      </c>
      <c r="X85" s="77"/>
      <c r="Y85" s="77"/>
      <c r="Z85" s="78">
        <f t="shared" si="12"/>
        <v>0</v>
      </c>
    </row>
    <row r="86" spans="1:26">
      <c r="A86" s="74" t="s">
        <v>177</v>
      </c>
      <c r="B86" s="75" t="s">
        <v>679</v>
      </c>
      <c r="C86" s="54">
        <v>186422</v>
      </c>
      <c r="D86" s="54" t="s">
        <v>175</v>
      </c>
      <c r="E86" s="54" t="s">
        <v>176</v>
      </c>
      <c r="F86" s="79"/>
      <c r="G86" s="61">
        <v>0</v>
      </c>
      <c r="H86" s="56">
        <v>0</v>
      </c>
      <c r="I86" s="56"/>
      <c r="J86" s="58">
        <v>0</v>
      </c>
      <c r="K86" s="56">
        <v>0</v>
      </c>
      <c r="L86" s="56">
        <v>0</v>
      </c>
      <c r="M86" s="61">
        <f t="shared" si="7"/>
        <v>0</v>
      </c>
      <c r="N86" s="56">
        <v>0</v>
      </c>
      <c r="O86" s="56">
        <v>0</v>
      </c>
      <c r="P86" s="58">
        <v>0</v>
      </c>
      <c r="Q86" s="58">
        <v>0</v>
      </c>
      <c r="R86" s="58">
        <v>0</v>
      </c>
      <c r="S86" s="61">
        <f t="shared" si="8"/>
        <v>0</v>
      </c>
      <c r="T86" s="56"/>
      <c r="U86" s="63">
        <f t="shared" si="9"/>
        <v>0</v>
      </c>
      <c r="V86" s="56">
        <f t="shared" si="10"/>
        <v>0</v>
      </c>
      <c r="W86" s="64">
        <f t="shared" si="11"/>
        <v>0</v>
      </c>
      <c r="X86" s="58"/>
      <c r="Z86" s="11">
        <f t="shared" si="12"/>
        <v>0</v>
      </c>
    </row>
    <row r="87" spans="1:26" ht="13.5" customHeight="1">
      <c r="A87" s="74" t="s">
        <v>178</v>
      </c>
      <c r="B87" s="75" t="s">
        <v>680</v>
      </c>
      <c r="C87" s="65">
        <v>186431</v>
      </c>
      <c r="D87" s="65" t="s">
        <v>93</v>
      </c>
      <c r="E87" s="65" t="s">
        <v>137</v>
      </c>
      <c r="F87" s="79"/>
      <c r="G87" s="61">
        <v>-35181</v>
      </c>
      <c r="H87" s="56">
        <v>0</v>
      </c>
      <c r="I87" s="56"/>
      <c r="J87" s="58">
        <v>0</v>
      </c>
      <c r="K87" s="56">
        <v>0</v>
      </c>
      <c r="L87" s="56">
        <v>0</v>
      </c>
      <c r="M87" s="61">
        <f t="shared" si="7"/>
        <v>-35181</v>
      </c>
      <c r="N87" s="56">
        <v>7407</v>
      </c>
      <c r="O87" s="56">
        <v>0</v>
      </c>
      <c r="P87" s="58">
        <v>0</v>
      </c>
      <c r="Q87" s="58">
        <v>0</v>
      </c>
      <c r="R87" s="58">
        <v>0</v>
      </c>
      <c r="S87" s="61">
        <f t="shared" si="8"/>
        <v>-27774</v>
      </c>
      <c r="T87" s="56"/>
      <c r="U87" s="63">
        <f t="shared" si="9"/>
        <v>0</v>
      </c>
      <c r="V87" s="56">
        <f t="shared" si="10"/>
        <v>10804.085999999999</v>
      </c>
      <c r="W87" s="64">
        <f t="shared" si="11"/>
        <v>-10804.085999999999</v>
      </c>
      <c r="Z87" s="11">
        <f t="shared" si="12"/>
        <v>0</v>
      </c>
    </row>
    <row r="88" spans="1:26">
      <c r="A88" s="74" t="s">
        <v>179</v>
      </c>
      <c r="B88" s="75" t="s">
        <v>681</v>
      </c>
      <c r="C88" s="54">
        <v>186432</v>
      </c>
      <c r="D88" s="54" t="s">
        <v>76</v>
      </c>
      <c r="E88" s="54" t="s">
        <v>137</v>
      </c>
      <c r="F88" s="79"/>
      <c r="G88" s="61">
        <v>-18528</v>
      </c>
      <c r="H88" s="56">
        <v>0</v>
      </c>
      <c r="I88" s="56"/>
      <c r="J88" s="58">
        <v>0</v>
      </c>
      <c r="K88" s="56">
        <v>0</v>
      </c>
      <c r="L88" s="56">
        <v>0</v>
      </c>
      <c r="M88" s="61">
        <f t="shared" si="7"/>
        <v>-18528</v>
      </c>
      <c r="N88" s="56">
        <v>6737</v>
      </c>
      <c r="O88" s="56">
        <v>0</v>
      </c>
      <c r="P88" s="58">
        <v>0</v>
      </c>
      <c r="Q88" s="58">
        <v>0</v>
      </c>
      <c r="R88" s="58">
        <v>0</v>
      </c>
      <c r="S88" s="61">
        <f t="shared" si="8"/>
        <v>-11791</v>
      </c>
      <c r="T88" s="56"/>
      <c r="U88" s="63">
        <f t="shared" si="9"/>
        <v>0</v>
      </c>
      <c r="V88" s="56">
        <f t="shared" si="10"/>
        <v>4586.6989999999996</v>
      </c>
      <c r="W88" s="64">
        <f t="shared" si="11"/>
        <v>-4586.6989999999996</v>
      </c>
      <c r="Z88" s="11">
        <f t="shared" si="12"/>
        <v>0</v>
      </c>
    </row>
    <row r="89" spans="1:26" ht="15">
      <c r="A89" s="74" t="s">
        <v>180</v>
      </c>
      <c r="B89" s="75" t="s">
        <v>682</v>
      </c>
      <c r="C89" s="54">
        <v>186434</v>
      </c>
      <c r="D89" s="54" t="s">
        <v>93</v>
      </c>
      <c r="E89" s="54" t="s">
        <v>90</v>
      </c>
      <c r="F89" s="79"/>
      <c r="G89" s="61">
        <v>0</v>
      </c>
      <c r="H89" s="56">
        <v>0</v>
      </c>
      <c r="I89" s="56"/>
      <c r="J89" s="58">
        <v>0</v>
      </c>
      <c r="K89" s="56">
        <v>0</v>
      </c>
      <c r="L89" s="56">
        <v>0</v>
      </c>
      <c r="M89" s="61">
        <f t="shared" si="7"/>
        <v>0</v>
      </c>
      <c r="N89" s="56">
        <v>0</v>
      </c>
      <c r="O89" s="56">
        <v>0</v>
      </c>
      <c r="P89" s="58">
        <v>0</v>
      </c>
      <c r="Q89" s="58">
        <v>0</v>
      </c>
      <c r="R89" s="58">
        <v>0</v>
      </c>
      <c r="S89" s="61">
        <f t="shared" si="8"/>
        <v>0</v>
      </c>
      <c r="T89" s="56"/>
      <c r="U89" s="63">
        <f t="shared" si="9"/>
        <v>0</v>
      </c>
      <c r="V89" s="56">
        <f t="shared" si="10"/>
        <v>0</v>
      </c>
      <c r="W89" s="64">
        <f t="shared" si="11"/>
        <v>0</v>
      </c>
      <c r="X89" s="77"/>
      <c r="Y89" s="77"/>
      <c r="Z89" s="78">
        <f t="shared" si="12"/>
        <v>0</v>
      </c>
    </row>
    <row r="90" spans="1:26">
      <c r="A90" s="74" t="s">
        <v>181</v>
      </c>
      <c r="B90" s="75" t="s">
        <v>683</v>
      </c>
      <c r="C90" s="65">
        <v>186435</v>
      </c>
      <c r="D90" s="65" t="s">
        <v>93</v>
      </c>
      <c r="E90" s="65" t="s">
        <v>90</v>
      </c>
      <c r="F90" s="79"/>
      <c r="G90" s="61">
        <v>0</v>
      </c>
      <c r="H90" s="56">
        <v>0</v>
      </c>
      <c r="I90" s="56"/>
      <c r="J90" s="58">
        <v>0</v>
      </c>
      <c r="K90" s="56">
        <v>0</v>
      </c>
      <c r="L90" s="56">
        <v>0</v>
      </c>
      <c r="M90" s="61">
        <f t="shared" si="7"/>
        <v>0</v>
      </c>
      <c r="N90" s="56">
        <v>0</v>
      </c>
      <c r="O90" s="56">
        <v>0</v>
      </c>
      <c r="P90" s="58">
        <v>0</v>
      </c>
      <c r="Q90" s="58">
        <v>0</v>
      </c>
      <c r="R90" s="58">
        <v>0</v>
      </c>
      <c r="S90" s="61">
        <f t="shared" si="8"/>
        <v>0</v>
      </c>
      <c r="T90" s="56"/>
      <c r="U90" s="63">
        <f t="shared" si="9"/>
        <v>0</v>
      </c>
      <c r="V90" s="56">
        <f t="shared" si="10"/>
        <v>0</v>
      </c>
      <c r="W90" s="64">
        <f t="shared" si="11"/>
        <v>0</v>
      </c>
      <c r="Z90" s="11">
        <f t="shared" si="12"/>
        <v>0</v>
      </c>
    </row>
    <row r="91" spans="1:26" ht="15">
      <c r="A91" s="74" t="s">
        <v>182</v>
      </c>
      <c r="B91" s="75" t="s">
        <v>684</v>
      </c>
      <c r="C91" s="54">
        <v>186444</v>
      </c>
      <c r="D91" s="54" t="s">
        <v>76</v>
      </c>
      <c r="E91" s="54" t="s">
        <v>137</v>
      </c>
      <c r="F91" s="79"/>
      <c r="G91" s="61">
        <v>-38464</v>
      </c>
      <c r="H91" s="56">
        <v>0</v>
      </c>
      <c r="I91" s="56"/>
      <c r="J91" s="58">
        <v>0</v>
      </c>
      <c r="K91" s="56">
        <v>0</v>
      </c>
      <c r="L91" s="56">
        <v>0</v>
      </c>
      <c r="M91" s="61">
        <f t="shared" si="7"/>
        <v>-38464</v>
      </c>
      <c r="N91" s="56">
        <v>-119869</v>
      </c>
      <c r="O91" s="56">
        <v>0</v>
      </c>
      <c r="P91" s="58">
        <v>0</v>
      </c>
      <c r="Q91" s="58">
        <v>0</v>
      </c>
      <c r="R91" s="58">
        <v>0</v>
      </c>
      <c r="S91" s="61">
        <f t="shared" si="8"/>
        <v>-158333</v>
      </c>
      <c r="T91" s="56"/>
      <c r="U91" s="63">
        <f t="shared" si="9"/>
        <v>0</v>
      </c>
      <c r="V91" s="56">
        <f t="shared" si="10"/>
        <v>61591.536999999997</v>
      </c>
      <c r="W91" s="64">
        <f t="shared" si="11"/>
        <v>-61591.536999999997</v>
      </c>
      <c r="X91" s="77"/>
      <c r="Y91" s="77"/>
      <c r="Z91" s="78">
        <f t="shared" si="12"/>
        <v>0</v>
      </c>
    </row>
    <row r="92" spans="1:26" ht="15">
      <c r="A92" s="74" t="s">
        <v>183</v>
      </c>
      <c r="B92" s="75" t="s">
        <v>685</v>
      </c>
      <c r="C92" s="54">
        <v>186453</v>
      </c>
      <c r="D92" s="54" t="s">
        <v>76</v>
      </c>
      <c r="E92" s="54" t="s">
        <v>137</v>
      </c>
      <c r="F92" s="79"/>
      <c r="G92" s="61">
        <v>0</v>
      </c>
      <c r="H92" s="56">
        <v>0</v>
      </c>
      <c r="I92" s="56"/>
      <c r="J92" s="58">
        <v>0</v>
      </c>
      <c r="K92" s="56">
        <v>0</v>
      </c>
      <c r="L92" s="56">
        <v>0</v>
      </c>
      <c r="M92" s="61">
        <f t="shared" si="7"/>
        <v>0</v>
      </c>
      <c r="N92" s="56">
        <v>0</v>
      </c>
      <c r="O92" s="56">
        <v>0</v>
      </c>
      <c r="P92" s="58">
        <v>0</v>
      </c>
      <c r="Q92" s="58">
        <v>0</v>
      </c>
      <c r="R92" s="58">
        <v>0</v>
      </c>
      <c r="S92" s="61">
        <f t="shared" si="8"/>
        <v>0</v>
      </c>
      <c r="T92" s="56"/>
      <c r="U92" s="63">
        <f t="shared" si="9"/>
        <v>0</v>
      </c>
      <c r="V92" s="56">
        <f t="shared" si="10"/>
        <v>0</v>
      </c>
      <c r="W92" s="64">
        <f t="shared" si="11"/>
        <v>0</v>
      </c>
      <c r="X92" s="77"/>
      <c r="Y92" s="77"/>
      <c r="Z92" s="78">
        <f t="shared" si="12"/>
        <v>0</v>
      </c>
    </row>
    <row r="93" spans="1:26" ht="15">
      <c r="A93" s="74" t="s">
        <v>184</v>
      </c>
      <c r="B93" s="75" t="s">
        <v>686</v>
      </c>
      <c r="C93" s="54">
        <v>186492</v>
      </c>
      <c r="D93" s="54" t="s">
        <v>185</v>
      </c>
      <c r="E93" s="54" t="s">
        <v>186</v>
      </c>
      <c r="F93" s="79"/>
      <c r="G93" s="61">
        <v>-0.10000000009313226</v>
      </c>
      <c r="H93" s="56">
        <v>0</v>
      </c>
      <c r="I93" s="56"/>
      <c r="J93" s="58">
        <v>0</v>
      </c>
      <c r="K93" s="56">
        <v>0</v>
      </c>
      <c r="L93" s="56">
        <v>0</v>
      </c>
      <c r="M93" s="61">
        <f t="shared" si="7"/>
        <v>-0.10000000009313226</v>
      </c>
      <c r="N93" s="56">
        <v>0</v>
      </c>
      <c r="O93" s="56">
        <v>0</v>
      </c>
      <c r="P93" s="58">
        <v>0</v>
      </c>
      <c r="Q93" s="58">
        <v>0</v>
      </c>
      <c r="R93" s="58">
        <v>0</v>
      </c>
      <c r="S93" s="61">
        <f t="shared" si="8"/>
        <v>-0.10000000009313226</v>
      </c>
      <c r="T93" s="56"/>
      <c r="U93" s="63">
        <f t="shared" si="9"/>
        <v>0</v>
      </c>
      <c r="V93" s="56">
        <f t="shared" si="10"/>
        <v>3.8900000036228441E-2</v>
      </c>
      <c r="W93" s="64">
        <f t="shared" si="11"/>
        <v>-3.8900000036228441E-2</v>
      </c>
      <c r="X93" s="77"/>
      <c r="Y93" s="77"/>
      <c r="Z93" s="78">
        <f t="shared" si="12"/>
        <v>0</v>
      </c>
    </row>
    <row r="94" spans="1:26" ht="15">
      <c r="A94" s="74" t="s">
        <v>187</v>
      </c>
      <c r="B94" s="75" t="s">
        <v>687</v>
      </c>
      <c r="C94" s="54">
        <v>186492</v>
      </c>
      <c r="D94" s="54" t="s">
        <v>185</v>
      </c>
      <c r="E94" s="54" t="s">
        <v>186</v>
      </c>
      <c r="F94" s="79"/>
      <c r="G94" s="61">
        <v>0</v>
      </c>
      <c r="H94" s="56">
        <v>0</v>
      </c>
      <c r="I94" s="56"/>
      <c r="J94" s="58">
        <v>0</v>
      </c>
      <c r="K94" s="56">
        <v>0</v>
      </c>
      <c r="L94" s="56">
        <v>0</v>
      </c>
      <c r="M94" s="61">
        <f t="shared" si="7"/>
        <v>0</v>
      </c>
      <c r="N94" s="56">
        <v>0</v>
      </c>
      <c r="O94" s="56">
        <v>0</v>
      </c>
      <c r="P94" s="58">
        <v>0</v>
      </c>
      <c r="Q94" s="58">
        <v>0</v>
      </c>
      <c r="R94" s="58">
        <v>0</v>
      </c>
      <c r="S94" s="61">
        <f t="shared" si="8"/>
        <v>0</v>
      </c>
      <c r="T94" s="56"/>
      <c r="U94" s="63">
        <f t="shared" si="9"/>
        <v>0</v>
      </c>
      <c r="V94" s="56">
        <f t="shared" si="10"/>
        <v>0</v>
      </c>
      <c r="W94" s="64">
        <f t="shared" si="11"/>
        <v>0</v>
      </c>
      <c r="X94" s="77"/>
      <c r="Y94" s="77"/>
      <c r="Z94" s="78">
        <f t="shared" si="12"/>
        <v>0</v>
      </c>
    </row>
    <row r="95" spans="1:26" ht="15">
      <c r="A95" s="74" t="s">
        <v>188</v>
      </c>
      <c r="B95" s="75" t="s">
        <v>688</v>
      </c>
      <c r="C95" s="54">
        <v>210240</v>
      </c>
      <c r="D95" s="54" t="s">
        <v>76</v>
      </c>
      <c r="E95" s="54" t="s">
        <v>137</v>
      </c>
      <c r="F95" s="79"/>
      <c r="G95" s="61">
        <v>0</v>
      </c>
      <c r="H95" s="56">
        <v>0</v>
      </c>
      <c r="I95" s="56"/>
      <c r="J95" s="58">
        <v>0</v>
      </c>
      <c r="K95" s="56">
        <v>0</v>
      </c>
      <c r="L95" s="56">
        <v>0</v>
      </c>
      <c r="M95" s="61">
        <f t="shared" si="7"/>
        <v>0</v>
      </c>
      <c r="N95" s="56">
        <v>0</v>
      </c>
      <c r="O95" s="56">
        <v>0</v>
      </c>
      <c r="P95" s="58">
        <v>0</v>
      </c>
      <c r="Q95" s="58">
        <v>0</v>
      </c>
      <c r="R95" s="58">
        <v>0</v>
      </c>
      <c r="S95" s="61">
        <f t="shared" si="8"/>
        <v>0</v>
      </c>
      <c r="T95" s="56"/>
      <c r="U95" s="63">
        <f t="shared" si="9"/>
        <v>0</v>
      </c>
      <c r="V95" s="56">
        <f t="shared" si="10"/>
        <v>0</v>
      </c>
      <c r="W95" s="64">
        <f t="shared" si="11"/>
        <v>0</v>
      </c>
      <c r="X95" s="77"/>
      <c r="Y95" s="77"/>
      <c r="Z95" s="78">
        <f t="shared" si="12"/>
        <v>0</v>
      </c>
    </row>
    <row r="96" spans="1:26" ht="15">
      <c r="A96" s="74" t="s">
        <v>189</v>
      </c>
      <c r="B96" s="75" t="s">
        <v>689</v>
      </c>
      <c r="C96" s="54">
        <v>210240</v>
      </c>
      <c r="D96" s="54" t="s">
        <v>76</v>
      </c>
      <c r="E96" s="54" t="s">
        <v>137</v>
      </c>
      <c r="F96" s="79"/>
      <c r="G96" s="61">
        <v>0</v>
      </c>
      <c r="H96" s="56">
        <v>0</v>
      </c>
      <c r="I96" s="56"/>
      <c r="J96" s="58">
        <v>0</v>
      </c>
      <c r="K96" s="56">
        <v>0</v>
      </c>
      <c r="L96" s="56">
        <v>0</v>
      </c>
      <c r="M96" s="61">
        <f t="shared" si="7"/>
        <v>0</v>
      </c>
      <c r="N96" s="56">
        <v>0</v>
      </c>
      <c r="O96" s="56">
        <v>0</v>
      </c>
      <c r="P96" s="58">
        <v>0</v>
      </c>
      <c r="Q96" s="58">
        <v>0</v>
      </c>
      <c r="R96" s="58">
        <v>0</v>
      </c>
      <c r="S96" s="61">
        <f t="shared" si="8"/>
        <v>0</v>
      </c>
      <c r="T96" s="56"/>
      <c r="U96" s="63">
        <f t="shared" si="9"/>
        <v>0</v>
      </c>
      <c r="V96" s="56">
        <f t="shared" si="10"/>
        <v>0</v>
      </c>
      <c r="W96" s="64">
        <f t="shared" si="11"/>
        <v>0</v>
      </c>
      <c r="X96" s="77"/>
      <c r="Y96" s="77"/>
      <c r="Z96" s="78">
        <f t="shared" si="12"/>
        <v>0</v>
      </c>
    </row>
    <row r="97" spans="1:26" ht="15">
      <c r="A97" s="74" t="s">
        <v>190</v>
      </c>
      <c r="B97" s="75" t="s">
        <v>690</v>
      </c>
      <c r="C97" s="54">
        <v>210240</v>
      </c>
      <c r="D97" s="54" t="s">
        <v>76</v>
      </c>
      <c r="E97" s="54" t="s">
        <v>137</v>
      </c>
      <c r="F97" s="79"/>
      <c r="G97" s="61">
        <v>0</v>
      </c>
      <c r="H97" s="56">
        <v>0</v>
      </c>
      <c r="I97" s="56"/>
      <c r="J97" s="58">
        <v>0</v>
      </c>
      <c r="K97" s="56">
        <v>0</v>
      </c>
      <c r="L97" s="56">
        <v>0</v>
      </c>
      <c r="M97" s="61">
        <f t="shared" si="7"/>
        <v>0</v>
      </c>
      <c r="N97" s="56">
        <v>0</v>
      </c>
      <c r="O97" s="56">
        <v>0</v>
      </c>
      <c r="P97" s="58">
        <v>0</v>
      </c>
      <c r="Q97" s="58">
        <v>0</v>
      </c>
      <c r="R97" s="58">
        <v>0</v>
      </c>
      <c r="S97" s="61">
        <f t="shared" si="8"/>
        <v>0</v>
      </c>
      <c r="T97" s="56"/>
      <c r="U97" s="63">
        <f t="shared" si="9"/>
        <v>0</v>
      </c>
      <c r="V97" s="56">
        <f t="shared" si="10"/>
        <v>0</v>
      </c>
      <c r="W97" s="64">
        <f t="shared" si="11"/>
        <v>0</v>
      </c>
      <c r="X97" s="77"/>
      <c r="Y97" s="77"/>
      <c r="Z97" s="78">
        <f t="shared" si="12"/>
        <v>0</v>
      </c>
    </row>
    <row r="98" spans="1:26" ht="15">
      <c r="A98" s="74" t="s">
        <v>191</v>
      </c>
      <c r="B98" s="75" t="s">
        <v>691</v>
      </c>
      <c r="C98" s="54">
        <v>241200</v>
      </c>
      <c r="D98" s="54" t="s">
        <v>76</v>
      </c>
      <c r="E98" s="54" t="s">
        <v>192</v>
      </c>
      <c r="F98" s="79"/>
      <c r="G98" s="61">
        <v>0</v>
      </c>
      <c r="H98" s="56">
        <v>0</v>
      </c>
      <c r="I98" s="56"/>
      <c r="J98" s="58">
        <v>0</v>
      </c>
      <c r="K98" s="56">
        <v>0</v>
      </c>
      <c r="L98" s="56">
        <v>0</v>
      </c>
      <c r="M98" s="61">
        <f t="shared" si="7"/>
        <v>0</v>
      </c>
      <c r="N98" s="56">
        <v>0</v>
      </c>
      <c r="O98" s="56">
        <v>0</v>
      </c>
      <c r="P98" s="58">
        <v>0</v>
      </c>
      <c r="Q98" s="58">
        <v>0</v>
      </c>
      <c r="R98" s="58">
        <v>0</v>
      </c>
      <c r="S98" s="61">
        <f t="shared" si="8"/>
        <v>0</v>
      </c>
      <c r="T98" s="56"/>
      <c r="U98" s="63">
        <f t="shared" si="9"/>
        <v>0</v>
      </c>
      <c r="V98" s="56">
        <f t="shared" si="10"/>
        <v>0</v>
      </c>
      <c r="W98" s="64">
        <f t="shared" si="11"/>
        <v>0</v>
      </c>
      <c r="X98" s="77"/>
      <c r="Y98" s="77"/>
      <c r="Z98" s="78">
        <f t="shared" si="12"/>
        <v>0</v>
      </c>
    </row>
    <row r="99" spans="1:26" ht="15">
      <c r="A99" s="74" t="s">
        <v>193</v>
      </c>
      <c r="B99" s="75" t="s">
        <v>692</v>
      </c>
      <c r="C99" s="54">
        <v>241200</v>
      </c>
      <c r="D99" s="54" t="s">
        <v>76</v>
      </c>
      <c r="E99" s="54" t="s">
        <v>192</v>
      </c>
      <c r="F99" s="79"/>
      <c r="G99" s="61">
        <v>0</v>
      </c>
      <c r="H99" s="56">
        <v>0</v>
      </c>
      <c r="I99" s="56"/>
      <c r="J99" s="58">
        <v>0</v>
      </c>
      <c r="K99" s="56">
        <v>0</v>
      </c>
      <c r="L99" s="56">
        <v>0</v>
      </c>
      <c r="M99" s="61">
        <f t="shared" ref="M99:M162" si="13">SUM(G99:L99)</f>
        <v>0</v>
      </c>
      <c r="N99" s="56">
        <v>0</v>
      </c>
      <c r="O99" s="56">
        <v>0</v>
      </c>
      <c r="P99" s="58">
        <v>0</v>
      </c>
      <c r="Q99" s="58">
        <v>0</v>
      </c>
      <c r="R99" s="58">
        <v>0</v>
      </c>
      <c r="S99" s="61">
        <f t="shared" ref="S99:S155" si="14">SUM(M99:R99)</f>
        <v>0</v>
      </c>
      <c r="T99" s="56"/>
      <c r="U99" s="63">
        <f t="shared" ref="U99:U162" si="15">IF(S99&gt;0,S99*$G$308,0)</f>
        <v>0</v>
      </c>
      <c r="V99" s="56">
        <f t="shared" ref="V99:V162" si="16">IF(S99&lt;0,-S99*$G$308,0)</f>
        <v>0</v>
      </c>
      <c r="W99" s="64">
        <f t="shared" ref="W99:W162" si="17">U99-V99</f>
        <v>0</v>
      </c>
      <c r="X99" s="77"/>
      <c r="Y99" s="77"/>
      <c r="Z99" s="78">
        <f t="shared" ref="Z99:Z175" si="18">SUM(M99:R99)-S99</f>
        <v>0</v>
      </c>
    </row>
    <row r="100" spans="1:26" ht="15">
      <c r="A100" s="74" t="s">
        <v>194</v>
      </c>
      <c r="B100" s="75" t="s">
        <v>693</v>
      </c>
      <c r="C100" s="54">
        <v>241500</v>
      </c>
      <c r="D100" s="54" t="s">
        <v>93</v>
      </c>
      <c r="E100" s="54" t="s">
        <v>90</v>
      </c>
      <c r="F100" s="79"/>
      <c r="G100" s="61">
        <v>37991</v>
      </c>
      <c r="H100" s="56">
        <v>0</v>
      </c>
      <c r="I100" s="56"/>
      <c r="J100" s="58">
        <v>0</v>
      </c>
      <c r="K100" s="56">
        <v>0</v>
      </c>
      <c r="L100" s="56">
        <v>0</v>
      </c>
      <c r="M100" s="61">
        <f t="shared" si="13"/>
        <v>37991</v>
      </c>
      <c r="N100" s="56">
        <v>-19138</v>
      </c>
      <c r="O100" s="56">
        <v>0</v>
      </c>
      <c r="P100" s="58">
        <v>0</v>
      </c>
      <c r="Q100" s="58">
        <v>0</v>
      </c>
      <c r="R100" s="58">
        <v>0</v>
      </c>
      <c r="S100" s="61">
        <f t="shared" si="14"/>
        <v>18853</v>
      </c>
      <c r="T100" s="56"/>
      <c r="U100" s="63">
        <f t="shared" si="15"/>
        <v>7333.8169999999991</v>
      </c>
      <c r="V100" s="56">
        <f t="shared" si="16"/>
        <v>0</v>
      </c>
      <c r="W100" s="64">
        <f t="shared" si="17"/>
        <v>7333.8169999999991</v>
      </c>
      <c r="X100" s="77"/>
      <c r="Y100" s="77"/>
      <c r="Z100" s="78">
        <f t="shared" si="18"/>
        <v>0</v>
      </c>
    </row>
    <row r="101" spans="1:26">
      <c r="A101" s="74" t="s">
        <v>195</v>
      </c>
      <c r="B101" s="75" t="s">
        <v>694</v>
      </c>
      <c r="C101" s="65">
        <v>252200</v>
      </c>
      <c r="D101" s="65" t="s">
        <v>145</v>
      </c>
      <c r="E101" s="65" t="s">
        <v>196</v>
      </c>
      <c r="F101" s="79"/>
      <c r="G101" s="61">
        <v>74712346.958868891</v>
      </c>
      <c r="H101" s="56">
        <v>0</v>
      </c>
      <c r="I101" s="56"/>
      <c r="J101" s="58">
        <f>1318053</f>
        <v>1318053</v>
      </c>
      <c r="K101" s="56">
        <v>0</v>
      </c>
      <c r="L101" s="56">
        <v>0</v>
      </c>
      <c r="M101" s="61">
        <f t="shared" si="13"/>
        <v>76030399.958868891</v>
      </c>
      <c r="N101" s="56">
        <v>0</v>
      </c>
      <c r="O101" s="56">
        <v>0</v>
      </c>
      <c r="P101" s="58">
        <v>0</v>
      </c>
      <c r="Q101" s="58">
        <v>0</v>
      </c>
      <c r="R101" s="58">
        <v>0</v>
      </c>
      <c r="S101" s="61">
        <f t="shared" si="14"/>
        <v>76030399.958868891</v>
      </c>
      <c r="T101" s="56"/>
      <c r="U101" s="63">
        <f t="shared" si="15"/>
        <v>29575825.583999995</v>
      </c>
      <c r="V101" s="56">
        <f t="shared" si="16"/>
        <v>0</v>
      </c>
      <c r="W101" s="64">
        <f t="shared" si="17"/>
        <v>29575825.583999995</v>
      </c>
      <c r="Z101" s="11">
        <f t="shared" si="18"/>
        <v>0</v>
      </c>
    </row>
    <row r="102" spans="1:26" ht="15">
      <c r="A102" s="74" t="s">
        <v>197</v>
      </c>
      <c r="B102" s="75" t="s">
        <v>695</v>
      </c>
      <c r="C102" s="54">
        <v>262000</v>
      </c>
      <c r="D102" s="54" t="s">
        <v>76</v>
      </c>
      <c r="E102" s="54" t="s">
        <v>192</v>
      </c>
      <c r="F102" s="79"/>
      <c r="G102" s="61">
        <v>350492.13</v>
      </c>
      <c r="H102" s="56">
        <v>0</v>
      </c>
      <c r="I102" s="56"/>
      <c r="J102" s="58">
        <v>0</v>
      </c>
      <c r="K102" s="56">
        <v>0</v>
      </c>
      <c r="L102" s="56">
        <v>0</v>
      </c>
      <c r="M102" s="61">
        <f t="shared" si="13"/>
        <v>350492.13</v>
      </c>
      <c r="N102" s="56">
        <v>-246389</v>
      </c>
      <c r="O102" s="56">
        <v>0</v>
      </c>
      <c r="P102" s="58">
        <v>0</v>
      </c>
      <c r="Q102" s="58">
        <v>0</v>
      </c>
      <c r="R102" s="58">
        <v>0</v>
      </c>
      <c r="S102" s="61">
        <f t="shared" si="14"/>
        <v>104103.13</v>
      </c>
      <c r="T102" s="56"/>
      <c r="U102" s="63">
        <f t="shared" si="15"/>
        <v>40496.117569999995</v>
      </c>
      <c r="V102" s="56">
        <f t="shared" si="16"/>
        <v>0</v>
      </c>
      <c r="W102" s="64">
        <f t="shared" si="17"/>
        <v>40496.117569999995</v>
      </c>
      <c r="X102" s="77"/>
      <c r="Y102" s="77"/>
      <c r="Z102" s="78">
        <f t="shared" si="18"/>
        <v>0</v>
      </c>
    </row>
    <row r="103" spans="1:26" ht="15">
      <c r="A103" s="74" t="s">
        <v>198</v>
      </c>
      <c r="B103" s="75" t="s">
        <v>696</v>
      </c>
      <c r="C103" s="54">
        <v>262000</v>
      </c>
      <c r="D103" s="54" t="s">
        <v>76</v>
      </c>
      <c r="E103" s="54" t="s">
        <v>192</v>
      </c>
      <c r="F103" s="79"/>
      <c r="G103" s="61">
        <v>-606581</v>
      </c>
      <c r="H103" s="56">
        <v>0</v>
      </c>
      <c r="I103" s="56"/>
      <c r="J103" s="58">
        <v>0</v>
      </c>
      <c r="K103" s="56">
        <v>0</v>
      </c>
      <c r="L103" s="56">
        <v>0</v>
      </c>
      <c r="M103" s="61">
        <f t="shared" si="13"/>
        <v>-606581</v>
      </c>
      <c r="N103" s="56">
        <v>0</v>
      </c>
      <c r="O103" s="56">
        <v>0</v>
      </c>
      <c r="P103" s="58">
        <v>0</v>
      </c>
      <c r="Q103" s="58">
        <v>0</v>
      </c>
      <c r="R103" s="58">
        <v>0</v>
      </c>
      <c r="S103" s="61">
        <f t="shared" si="14"/>
        <v>-606581</v>
      </c>
      <c r="T103" s="56"/>
      <c r="U103" s="63">
        <f t="shared" si="15"/>
        <v>0</v>
      </c>
      <c r="V103" s="56">
        <f t="shared" si="16"/>
        <v>235960.00899999996</v>
      </c>
      <c r="W103" s="64">
        <f t="shared" si="17"/>
        <v>-235960.00899999996</v>
      </c>
      <c r="X103" s="77"/>
      <c r="Y103" s="77"/>
      <c r="Z103" s="78">
        <f t="shared" si="18"/>
        <v>0</v>
      </c>
    </row>
    <row r="104" spans="1:26">
      <c r="A104" s="74" t="s">
        <v>199</v>
      </c>
      <c r="B104" s="75" t="s">
        <v>697</v>
      </c>
      <c r="C104" s="54">
        <v>262000</v>
      </c>
      <c r="D104" s="54" t="s">
        <v>76</v>
      </c>
      <c r="E104" s="54" t="s">
        <v>192</v>
      </c>
      <c r="F104" s="79"/>
      <c r="G104" s="61">
        <v>712290</v>
      </c>
      <c r="H104" s="56">
        <v>0</v>
      </c>
      <c r="I104" s="56"/>
      <c r="J104" s="58">
        <v>0</v>
      </c>
      <c r="K104" s="56">
        <v>0</v>
      </c>
      <c r="L104" s="56">
        <v>0</v>
      </c>
      <c r="M104" s="61">
        <f t="shared" si="13"/>
        <v>712290</v>
      </c>
      <c r="N104" s="56">
        <v>0</v>
      </c>
      <c r="O104" s="56">
        <v>0</v>
      </c>
      <c r="P104" s="58">
        <v>0</v>
      </c>
      <c r="Q104" s="58">
        <v>0</v>
      </c>
      <c r="R104" s="58">
        <v>0</v>
      </c>
      <c r="S104" s="61">
        <f t="shared" si="14"/>
        <v>712290</v>
      </c>
      <c r="T104" s="56"/>
      <c r="U104" s="63">
        <f t="shared" si="15"/>
        <v>277080.81</v>
      </c>
      <c r="V104" s="56">
        <f t="shared" si="16"/>
        <v>0</v>
      </c>
      <c r="W104" s="64">
        <f t="shared" si="17"/>
        <v>277080.81</v>
      </c>
      <c r="X104" s="58"/>
      <c r="Z104" s="11">
        <f t="shared" si="18"/>
        <v>0</v>
      </c>
    </row>
    <row r="105" spans="1:26" ht="15">
      <c r="A105" s="74" t="s">
        <v>200</v>
      </c>
      <c r="B105" s="75" t="s">
        <v>698</v>
      </c>
      <c r="C105" s="54">
        <v>262000</v>
      </c>
      <c r="D105" s="54" t="s">
        <v>76</v>
      </c>
      <c r="E105" s="54" t="s">
        <v>137</v>
      </c>
      <c r="F105" s="79"/>
      <c r="G105" s="61">
        <v>0</v>
      </c>
      <c r="H105" s="56">
        <v>0</v>
      </c>
      <c r="I105" s="56"/>
      <c r="J105" s="58">
        <v>0</v>
      </c>
      <c r="K105" s="56">
        <v>0</v>
      </c>
      <c r="L105" s="56">
        <v>0</v>
      </c>
      <c r="M105" s="61">
        <f t="shared" si="13"/>
        <v>0</v>
      </c>
      <c r="N105" s="56">
        <v>0</v>
      </c>
      <c r="O105" s="56">
        <v>0</v>
      </c>
      <c r="P105" s="58">
        <v>0</v>
      </c>
      <c r="Q105" s="58">
        <v>0</v>
      </c>
      <c r="R105" s="58">
        <v>0</v>
      </c>
      <c r="S105" s="61">
        <f t="shared" si="14"/>
        <v>0</v>
      </c>
      <c r="T105" s="56"/>
      <c r="U105" s="63">
        <f t="shared" si="15"/>
        <v>0</v>
      </c>
      <c r="V105" s="56">
        <f t="shared" si="16"/>
        <v>0</v>
      </c>
      <c r="W105" s="64">
        <f t="shared" si="17"/>
        <v>0</v>
      </c>
      <c r="X105" s="77"/>
      <c r="Y105" s="77"/>
      <c r="Z105" s="78">
        <f t="shared" si="18"/>
        <v>0</v>
      </c>
    </row>
    <row r="106" spans="1:26" ht="15">
      <c r="A106" s="74" t="s">
        <v>201</v>
      </c>
      <c r="B106" s="75" t="s">
        <v>699</v>
      </c>
      <c r="C106" s="54">
        <v>262110</v>
      </c>
      <c r="D106" s="54" t="s">
        <v>175</v>
      </c>
      <c r="E106" s="54" t="s">
        <v>202</v>
      </c>
      <c r="F106" s="79"/>
      <c r="G106" s="61">
        <v>2027518.73</v>
      </c>
      <c r="H106" s="56">
        <v>0</v>
      </c>
      <c r="I106" s="56"/>
      <c r="J106" s="58">
        <v>0</v>
      </c>
      <c r="K106" s="56">
        <v>0</v>
      </c>
      <c r="L106" s="56">
        <v>0</v>
      </c>
      <c r="M106" s="61">
        <f t="shared" si="13"/>
        <v>2027518.73</v>
      </c>
      <c r="N106" s="56">
        <v>0</v>
      </c>
      <c r="O106" s="56">
        <v>0</v>
      </c>
      <c r="P106" s="58">
        <v>0</v>
      </c>
      <c r="Q106" s="58">
        <v>0</v>
      </c>
      <c r="R106" s="58">
        <v>0</v>
      </c>
      <c r="S106" s="61">
        <f t="shared" si="14"/>
        <v>2027518.73</v>
      </c>
      <c r="T106" s="56"/>
      <c r="U106" s="63">
        <f t="shared" si="15"/>
        <v>788704.78596999985</v>
      </c>
      <c r="V106" s="56">
        <f t="shared" si="16"/>
        <v>0</v>
      </c>
      <c r="W106" s="64">
        <f t="shared" si="17"/>
        <v>788704.78596999985</v>
      </c>
      <c r="X106" s="77"/>
      <c r="Y106" s="77"/>
      <c r="Z106" s="78">
        <f t="shared" si="18"/>
        <v>0</v>
      </c>
    </row>
    <row r="107" spans="1:26">
      <c r="A107" s="74" t="s">
        <v>203</v>
      </c>
      <c r="B107" s="75" t="s">
        <v>700</v>
      </c>
      <c r="C107" s="54">
        <v>262110</v>
      </c>
      <c r="D107" s="54" t="s">
        <v>175</v>
      </c>
      <c r="E107" s="54" t="s">
        <v>176</v>
      </c>
      <c r="F107" s="79"/>
      <c r="G107" s="61">
        <v>0</v>
      </c>
      <c r="H107" s="56">
        <v>0</v>
      </c>
      <c r="I107" s="56"/>
      <c r="J107" s="58">
        <v>0</v>
      </c>
      <c r="K107" s="56">
        <v>0</v>
      </c>
      <c r="L107" s="56">
        <v>0</v>
      </c>
      <c r="M107" s="61">
        <f t="shared" si="13"/>
        <v>0</v>
      </c>
      <c r="N107" s="56">
        <v>0</v>
      </c>
      <c r="O107" s="56">
        <v>0</v>
      </c>
      <c r="P107" s="58">
        <v>0</v>
      </c>
      <c r="Q107" s="58">
        <v>0</v>
      </c>
      <c r="R107" s="58">
        <v>0</v>
      </c>
      <c r="S107" s="61">
        <f t="shared" si="14"/>
        <v>0</v>
      </c>
      <c r="T107" s="56"/>
      <c r="U107" s="63">
        <f t="shared" si="15"/>
        <v>0</v>
      </c>
      <c r="V107" s="56">
        <f t="shared" si="16"/>
        <v>0</v>
      </c>
      <c r="W107" s="64">
        <f t="shared" si="17"/>
        <v>0</v>
      </c>
      <c r="X107" s="58"/>
      <c r="Z107" s="11">
        <f t="shared" si="18"/>
        <v>0</v>
      </c>
    </row>
    <row r="108" spans="1:26" ht="15">
      <c r="A108" s="74" t="s">
        <v>204</v>
      </c>
      <c r="B108" s="75" t="s">
        <v>701</v>
      </c>
      <c r="C108" s="54">
        <v>262111</v>
      </c>
      <c r="D108" s="54" t="s">
        <v>175</v>
      </c>
      <c r="E108" s="54" t="s">
        <v>176</v>
      </c>
      <c r="F108" s="79"/>
      <c r="G108" s="61">
        <v>0</v>
      </c>
      <c r="H108" s="56">
        <v>0</v>
      </c>
      <c r="I108" s="56"/>
      <c r="J108" s="58">
        <v>0</v>
      </c>
      <c r="K108" s="56">
        <v>0</v>
      </c>
      <c r="L108" s="56">
        <v>0</v>
      </c>
      <c r="M108" s="61">
        <f t="shared" si="13"/>
        <v>0</v>
      </c>
      <c r="N108" s="56">
        <v>0</v>
      </c>
      <c r="O108" s="56">
        <v>0</v>
      </c>
      <c r="P108" s="58">
        <v>0</v>
      </c>
      <c r="Q108" s="58">
        <v>0</v>
      </c>
      <c r="R108" s="58">
        <v>0</v>
      </c>
      <c r="S108" s="61">
        <f t="shared" si="14"/>
        <v>0</v>
      </c>
      <c r="T108" s="56"/>
      <c r="U108" s="63">
        <f t="shared" si="15"/>
        <v>0</v>
      </c>
      <c r="V108" s="56">
        <f t="shared" si="16"/>
        <v>0</v>
      </c>
      <c r="W108" s="64">
        <f t="shared" si="17"/>
        <v>0</v>
      </c>
      <c r="X108" s="76"/>
      <c r="Y108" s="77"/>
      <c r="Z108" s="78">
        <f t="shared" si="18"/>
        <v>0</v>
      </c>
    </row>
    <row r="109" spans="1:26">
      <c r="A109" s="74" t="s">
        <v>205</v>
      </c>
      <c r="B109" s="75" t="s">
        <v>702</v>
      </c>
      <c r="C109" s="54">
        <v>262111</v>
      </c>
      <c r="D109" s="54" t="s">
        <v>175</v>
      </c>
      <c r="E109" s="54" t="s">
        <v>176</v>
      </c>
      <c r="F109" s="79"/>
      <c r="G109" s="61">
        <v>0</v>
      </c>
      <c r="H109" s="56">
        <v>0</v>
      </c>
      <c r="I109" s="56"/>
      <c r="J109" s="58">
        <v>0</v>
      </c>
      <c r="K109" s="56">
        <v>0</v>
      </c>
      <c r="L109" s="56">
        <v>0</v>
      </c>
      <c r="M109" s="61">
        <f t="shared" si="13"/>
        <v>0</v>
      </c>
      <c r="N109" s="56">
        <v>0</v>
      </c>
      <c r="O109" s="56">
        <v>0</v>
      </c>
      <c r="P109" s="58">
        <v>0</v>
      </c>
      <c r="Q109" s="58">
        <v>0</v>
      </c>
      <c r="R109" s="58">
        <v>0</v>
      </c>
      <c r="S109" s="61">
        <f t="shared" si="14"/>
        <v>0</v>
      </c>
      <c r="T109" s="56"/>
      <c r="U109" s="63">
        <f t="shared" si="15"/>
        <v>0</v>
      </c>
      <c r="V109" s="56">
        <f t="shared" si="16"/>
        <v>0</v>
      </c>
      <c r="W109" s="64">
        <f t="shared" si="17"/>
        <v>0</v>
      </c>
      <c r="X109" s="58"/>
      <c r="Z109" s="11">
        <f t="shared" si="18"/>
        <v>0</v>
      </c>
    </row>
    <row r="110" spans="1:26" ht="15">
      <c r="A110" s="74" t="s">
        <v>206</v>
      </c>
      <c r="B110" s="75" t="s">
        <v>703</v>
      </c>
      <c r="C110" s="54">
        <v>262140</v>
      </c>
      <c r="D110" s="54" t="s">
        <v>175</v>
      </c>
      <c r="E110" s="54" t="s">
        <v>176</v>
      </c>
      <c r="F110" s="79"/>
      <c r="G110" s="61">
        <v>0</v>
      </c>
      <c r="H110" s="56">
        <v>0</v>
      </c>
      <c r="I110" s="56"/>
      <c r="J110" s="58">
        <v>0</v>
      </c>
      <c r="K110" s="56">
        <v>0</v>
      </c>
      <c r="L110" s="56">
        <v>0</v>
      </c>
      <c r="M110" s="61">
        <f t="shared" si="13"/>
        <v>0</v>
      </c>
      <c r="N110" s="56">
        <v>0</v>
      </c>
      <c r="O110" s="56">
        <v>0</v>
      </c>
      <c r="P110" s="58">
        <v>0</v>
      </c>
      <c r="Q110" s="58">
        <v>0</v>
      </c>
      <c r="R110" s="58">
        <v>0</v>
      </c>
      <c r="S110" s="61">
        <f t="shared" si="14"/>
        <v>0</v>
      </c>
      <c r="T110" s="56"/>
      <c r="U110" s="63">
        <f t="shared" si="15"/>
        <v>0</v>
      </c>
      <c r="V110" s="56">
        <f t="shared" si="16"/>
        <v>0</v>
      </c>
      <c r="W110" s="64">
        <f t="shared" si="17"/>
        <v>0</v>
      </c>
      <c r="X110" s="77"/>
      <c r="Y110" s="77"/>
      <c r="Z110" s="78">
        <f t="shared" si="18"/>
        <v>0</v>
      </c>
    </row>
    <row r="111" spans="1:26">
      <c r="A111" s="74" t="s">
        <v>207</v>
      </c>
      <c r="B111" s="75" t="s">
        <v>704</v>
      </c>
      <c r="C111" s="54">
        <v>262140</v>
      </c>
      <c r="D111" s="54" t="s">
        <v>175</v>
      </c>
      <c r="E111" s="54" t="s">
        <v>176</v>
      </c>
      <c r="F111" s="79"/>
      <c r="G111" s="61">
        <v>0</v>
      </c>
      <c r="H111" s="56">
        <v>0</v>
      </c>
      <c r="I111" s="56"/>
      <c r="J111" s="58">
        <v>0</v>
      </c>
      <c r="K111" s="56">
        <v>0</v>
      </c>
      <c r="L111" s="56">
        <v>0</v>
      </c>
      <c r="M111" s="61">
        <f t="shared" si="13"/>
        <v>0</v>
      </c>
      <c r="N111" s="56">
        <v>0</v>
      </c>
      <c r="O111" s="56">
        <v>0</v>
      </c>
      <c r="P111" s="58">
        <v>0</v>
      </c>
      <c r="Q111" s="58">
        <v>0</v>
      </c>
      <c r="R111" s="58">
        <v>0</v>
      </c>
      <c r="S111" s="61">
        <f t="shared" si="14"/>
        <v>0</v>
      </c>
      <c r="T111" s="56"/>
      <c r="U111" s="63">
        <f t="shared" si="15"/>
        <v>0</v>
      </c>
      <c r="V111" s="56">
        <f t="shared" si="16"/>
        <v>0</v>
      </c>
      <c r="W111" s="64">
        <f t="shared" si="17"/>
        <v>0</v>
      </c>
      <c r="X111" s="58"/>
      <c r="Z111" s="11">
        <f t="shared" si="18"/>
        <v>0</v>
      </c>
    </row>
    <row r="112" spans="1:26" ht="15">
      <c r="A112" s="74" t="s">
        <v>208</v>
      </c>
      <c r="B112" s="75" t="s">
        <v>705</v>
      </c>
      <c r="C112" s="54">
        <v>262180</v>
      </c>
      <c r="D112" s="54" t="s">
        <v>76</v>
      </c>
      <c r="E112" s="54" t="s">
        <v>72</v>
      </c>
      <c r="F112" s="79"/>
      <c r="G112" s="61">
        <v>0</v>
      </c>
      <c r="H112" s="56">
        <v>0</v>
      </c>
      <c r="I112" s="56"/>
      <c r="J112" s="58">
        <v>0</v>
      </c>
      <c r="K112" s="56">
        <v>0</v>
      </c>
      <c r="L112" s="56">
        <v>0</v>
      </c>
      <c r="M112" s="61">
        <f t="shared" si="13"/>
        <v>0</v>
      </c>
      <c r="N112" s="56">
        <v>0</v>
      </c>
      <c r="O112" s="56">
        <v>0</v>
      </c>
      <c r="P112" s="58">
        <v>0</v>
      </c>
      <c r="Q112" s="58">
        <v>0</v>
      </c>
      <c r="R112" s="58">
        <v>0</v>
      </c>
      <c r="S112" s="61">
        <f t="shared" si="14"/>
        <v>0</v>
      </c>
      <c r="T112" s="56"/>
      <c r="U112" s="63">
        <f t="shared" si="15"/>
        <v>0</v>
      </c>
      <c r="V112" s="56">
        <f t="shared" si="16"/>
        <v>0</v>
      </c>
      <c r="W112" s="64">
        <f t="shared" si="17"/>
        <v>0</v>
      </c>
      <c r="X112" s="77"/>
      <c r="Y112" s="77"/>
      <c r="Z112" s="78">
        <f t="shared" si="18"/>
        <v>0</v>
      </c>
    </row>
    <row r="113" spans="1:26" ht="15">
      <c r="A113" s="74" t="s">
        <v>209</v>
      </c>
      <c r="B113" s="75" t="s">
        <v>706</v>
      </c>
      <c r="C113" s="54">
        <v>262210</v>
      </c>
      <c r="D113" s="54" t="s">
        <v>172</v>
      </c>
      <c r="E113" s="54" t="s">
        <v>173</v>
      </c>
      <c r="F113" s="79"/>
      <c r="G113" s="61">
        <v>222693</v>
      </c>
      <c r="H113" s="56">
        <v>0</v>
      </c>
      <c r="I113" s="56"/>
      <c r="J113" s="58">
        <v>0</v>
      </c>
      <c r="K113" s="56">
        <v>0</v>
      </c>
      <c r="L113" s="56">
        <v>0</v>
      </c>
      <c r="M113" s="61">
        <f t="shared" si="13"/>
        <v>222693</v>
      </c>
      <c r="N113" s="56">
        <v>0</v>
      </c>
      <c r="O113" s="56">
        <v>0</v>
      </c>
      <c r="P113" s="58">
        <v>0</v>
      </c>
      <c r="Q113" s="58">
        <v>0</v>
      </c>
      <c r="R113" s="58">
        <v>0</v>
      </c>
      <c r="S113" s="61">
        <f t="shared" si="14"/>
        <v>222693</v>
      </c>
      <c r="T113" s="56"/>
      <c r="U113" s="63">
        <f t="shared" si="15"/>
        <v>86627.57699999999</v>
      </c>
      <c r="V113" s="56">
        <f t="shared" si="16"/>
        <v>0</v>
      </c>
      <c r="W113" s="64">
        <f t="shared" si="17"/>
        <v>86627.57699999999</v>
      </c>
      <c r="X113" s="76"/>
      <c r="Y113" s="77"/>
      <c r="Z113" s="78">
        <f t="shared" si="18"/>
        <v>0</v>
      </c>
    </row>
    <row r="114" spans="1:26" ht="15">
      <c r="A114" s="74" t="s">
        <v>210</v>
      </c>
      <c r="B114" s="75" t="s">
        <v>707</v>
      </c>
      <c r="C114" s="54">
        <v>262210</v>
      </c>
      <c r="D114" s="54" t="s">
        <v>172</v>
      </c>
      <c r="E114" s="54" t="s">
        <v>211</v>
      </c>
      <c r="F114" s="79"/>
      <c r="G114" s="61">
        <v>875909.96</v>
      </c>
      <c r="H114" s="56">
        <v>0</v>
      </c>
      <c r="I114" s="56"/>
      <c r="J114" s="58">
        <v>0</v>
      </c>
      <c r="K114" s="56">
        <v>0</v>
      </c>
      <c r="L114" s="56">
        <v>0</v>
      </c>
      <c r="M114" s="61">
        <f t="shared" si="13"/>
        <v>875909.96</v>
      </c>
      <c r="N114" s="56">
        <v>0</v>
      </c>
      <c r="O114" s="56">
        <v>0</v>
      </c>
      <c r="P114" s="58">
        <v>0</v>
      </c>
      <c r="Q114" s="58">
        <v>0</v>
      </c>
      <c r="R114" s="58">
        <v>0</v>
      </c>
      <c r="S114" s="61">
        <f t="shared" si="14"/>
        <v>875909.96</v>
      </c>
      <c r="T114" s="56"/>
      <c r="U114" s="63">
        <f t="shared" si="15"/>
        <v>340728.97443999996</v>
      </c>
      <c r="V114" s="56">
        <f t="shared" si="16"/>
        <v>0</v>
      </c>
      <c r="W114" s="64">
        <f t="shared" si="17"/>
        <v>340728.97443999996</v>
      </c>
      <c r="X114" s="76"/>
      <c r="Y114" s="77"/>
      <c r="Z114" s="78">
        <f t="shared" si="18"/>
        <v>0</v>
      </c>
    </row>
    <row r="115" spans="1:26" ht="15">
      <c r="A115" s="74" t="s">
        <v>212</v>
      </c>
      <c r="B115" s="75" t="s">
        <v>708</v>
      </c>
      <c r="C115" s="54">
        <v>146200</v>
      </c>
      <c r="D115" s="54" t="s">
        <v>68</v>
      </c>
      <c r="E115" s="54" t="s">
        <v>213</v>
      </c>
      <c r="F115" s="79"/>
      <c r="G115" s="61">
        <v>44194</v>
      </c>
      <c r="H115" s="56">
        <v>0</v>
      </c>
      <c r="I115" s="56"/>
      <c r="J115" s="58">
        <v>0</v>
      </c>
      <c r="K115" s="56">
        <v>0</v>
      </c>
      <c r="L115" s="56">
        <v>0</v>
      </c>
      <c r="M115" s="61">
        <f t="shared" si="13"/>
        <v>44194</v>
      </c>
      <c r="N115" s="56">
        <v>0</v>
      </c>
      <c r="O115" s="56">
        <v>0</v>
      </c>
      <c r="P115" s="58">
        <v>0</v>
      </c>
      <c r="Q115" s="58">
        <v>0</v>
      </c>
      <c r="R115" s="58">
        <v>0</v>
      </c>
      <c r="S115" s="61">
        <f t="shared" si="14"/>
        <v>44194</v>
      </c>
      <c r="T115" s="56"/>
      <c r="U115" s="63">
        <f t="shared" si="15"/>
        <v>17191.465999999997</v>
      </c>
      <c r="V115" s="56">
        <f t="shared" si="16"/>
        <v>0</v>
      </c>
      <c r="W115" s="64">
        <f t="shared" si="17"/>
        <v>17191.465999999997</v>
      </c>
      <c r="X115" s="77"/>
      <c r="Y115" s="77"/>
      <c r="Z115" s="78">
        <f t="shared" si="18"/>
        <v>0</v>
      </c>
    </row>
    <row r="116" spans="1:26" ht="15">
      <c r="A116" s="74" t="s">
        <v>214</v>
      </c>
      <c r="B116" s="75" t="s">
        <v>709</v>
      </c>
      <c r="C116" s="54">
        <v>146200</v>
      </c>
      <c r="D116" s="54" t="s">
        <v>68</v>
      </c>
      <c r="E116" s="54" t="s">
        <v>213</v>
      </c>
      <c r="F116" s="79"/>
      <c r="G116" s="61">
        <v>87875</v>
      </c>
      <c r="H116" s="56">
        <v>0</v>
      </c>
      <c r="I116" s="56"/>
      <c r="J116" s="58">
        <v>0</v>
      </c>
      <c r="K116" s="56">
        <v>0</v>
      </c>
      <c r="L116" s="56">
        <v>0</v>
      </c>
      <c r="M116" s="61">
        <f t="shared" si="13"/>
        <v>87875</v>
      </c>
      <c r="N116" s="56">
        <v>0</v>
      </c>
      <c r="O116" s="56">
        <v>0</v>
      </c>
      <c r="P116" s="58">
        <v>0</v>
      </c>
      <c r="Q116" s="58">
        <v>0</v>
      </c>
      <c r="R116" s="58">
        <v>0</v>
      </c>
      <c r="S116" s="61">
        <f t="shared" si="14"/>
        <v>87875</v>
      </c>
      <c r="T116" s="56"/>
      <c r="U116" s="63">
        <f t="shared" si="15"/>
        <v>34183.374999999993</v>
      </c>
      <c r="V116" s="56">
        <f t="shared" si="16"/>
        <v>0</v>
      </c>
      <c r="W116" s="64">
        <f t="shared" si="17"/>
        <v>34183.374999999993</v>
      </c>
      <c r="X116" s="77"/>
      <c r="Y116" s="77"/>
      <c r="Z116" s="78">
        <f t="shared" si="18"/>
        <v>0</v>
      </c>
    </row>
    <row r="117" spans="1:26" ht="15">
      <c r="A117" s="74" t="s">
        <v>215</v>
      </c>
      <c r="B117" s="75" t="s">
        <v>710</v>
      </c>
      <c r="C117" s="54">
        <v>262317</v>
      </c>
      <c r="D117" s="54" t="s">
        <v>68</v>
      </c>
      <c r="E117" s="54" t="s">
        <v>216</v>
      </c>
      <c r="F117" s="79"/>
      <c r="G117" s="61">
        <v>-38215.61</v>
      </c>
      <c r="H117" s="56">
        <v>-89155</v>
      </c>
      <c r="I117" s="56"/>
      <c r="J117" s="58">
        <v>0</v>
      </c>
      <c r="K117" s="56">
        <v>0</v>
      </c>
      <c r="L117" s="56">
        <v>0</v>
      </c>
      <c r="M117" s="61">
        <f t="shared" si="13"/>
        <v>-127370.61</v>
      </c>
      <c r="N117" s="56">
        <v>88189</v>
      </c>
      <c r="O117" s="56">
        <v>0</v>
      </c>
      <c r="P117" s="58">
        <v>0</v>
      </c>
      <c r="Q117" s="58">
        <v>0</v>
      </c>
      <c r="R117" s="58">
        <v>0</v>
      </c>
      <c r="S117" s="61">
        <f t="shared" si="14"/>
        <v>-39181.61</v>
      </c>
      <c r="T117" s="56"/>
      <c r="U117" s="63">
        <f t="shared" si="15"/>
        <v>0</v>
      </c>
      <c r="V117" s="56">
        <f t="shared" si="16"/>
        <v>15241.646289999999</v>
      </c>
      <c r="W117" s="64">
        <f t="shared" si="17"/>
        <v>-15241.646289999999</v>
      </c>
      <c r="X117" s="77"/>
      <c r="Y117" s="77"/>
      <c r="Z117" s="78">
        <f t="shared" si="18"/>
        <v>0</v>
      </c>
    </row>
    <row r="118" spans="1:26">
      <c r="A118" s="74" t="s">
        <v>217</v>
      </c>
      <c r="B118" s="75" t="s">
        <v>711</v>
      </c>
      <c r="C118" s="54">
        <v>262317</v>
      </c>
      <c r="D118" s="54" t="s">
        <v>68</v>
      </c>
      <c r="E118" s="54" t="s">
        <v>216</v>
      </c>
      <c r="F118" s="79"/>
      <c r="G118" s="61">
        <v>-30</v>
      </c>
      <c r="H118" s="56">
        <v>0</v>
      </c>
      <c r="I118" s="56"/>
      <c r="J118" s="58">
        <v>0</v>
      </c>
      <c r="K118" s="56">
        <v>0</v>
      </c>
      <c r="L118" s="56">
        <v>0</v>
      </c>
      <c r="M118" s="61">
        <f t="shared" si="13"/>
        <v>-30</v>
      </c>
      <c r="N118" s="56">
        <v>0</v>
      </c>
      <c r="O118" s="56">
        <v>0</v>
      </c>
      <c r="P118" s="58">
        <v>0</v>
      </c>
      <c r="Q118" s="58">
        <v>0</v>
      </c>
      <c r="R118" s="58">
        <v>0</v>
      </c>
      <c r="S118" s="61">
        <f t="shared" si="14"/>
        <v>-30</v>
      </c>
      <c r="T118" s="56"/>
      <c r="U118" s="63">
        <f t="shared" si="15"/>
        <v>0</v>
      </c>
      <c r="V118" s="56">
        <f t="shared" si="16"/>
        <v>11.669999999999998</v>
      </c>
      <c r="W118" s="64">
        <f t="shared" si="17"/>
        <v>-11.669999999999998</v>
      </c>
      <c r="X118" s="58"/>
      <c r="Z118" s="11">
        <f t="shared" si="18"/>
        <v>0</v>
      </c>
    </row>
    <row r="119" spans="1:26" ht="15">
      <c r="A119" s="74" t="s">
        <v>218</v>
      </c>
      <c r="B119" s="75" t="s">
        <v>712</v>
      </c>
      <c r="C119" s="54">
        <v>205425</v>
      </c>
      <c r="D119" s="54" t="s">
        <v>68</v>
      </c>
      <c r="E119" s="54" t="s">
        <v>213</v>
      </c>
      <c r="F119" s="79"/>
      <c r="G119" s="61">
        <v>0</v>
      </c>
      <c r="H119" s="56">
        <v>0</v>
      </c>
      <c r="I119" s="56"/>
      <c r="J119" s="58">
        <v>0</v>
      </c>
      <c r="K119" s="56">
        <v>0</v>
      </c>
      <c r="L119" s="56">
        <v>0</v>
      </c>
      <c r="M119" s="61">
        <f t="shared" si="13"/>
        <v>0</v>
      </c>
      <c r="N119" s="56">
        <v>0</v>
      </c>
      <c r="O119" s="56">
        <v>0</v>
      </c>
      <c r="P119" s="58">
        <v>0</v>
      </c>
      <c r="Q119" s="58">
        <v>0</v>
      </c>
      <c r="R119" s="58">
        <v>0</v>
      </c>
      <c r="S119" s="61">
        <f t="shared" si="14"/>
        <v>0</v>
      </c>
      <c r="T119" s="56"/>
      <c r="U119" s="63">
        <f t="shared" si="15"/>
        <v>0</v>
      </c>
      <c r="V119" s="56">
        <f t="shared" si="16"/>
        <v>0</v>
      </c>
      <c r="W119" s="64">
        <f t="shared" si="17"/>
        <v>0</v>
      </c>
      <c r="X119" s="77"/>
      <c r="Y119" s="77"/>
      <c r="Z119" s="78">
        <f t="shared" si="18"/>
        <v>0</v>
      </c>
    </row>
    <row r="120" spans="1:26" ht="15">
      <c r="A120" s="74" t="s">
        <v>219</v>
      </c>
      <c r="B120" s="75" t="s">
        <v>713</v>
      </c>
      <c r="C120" s="54">
        <v>262318</v>
      </c>
      <c r="D120" s="54" t="s">
        <v>68</v>
      </c>
      <c r="E120" s="54" t="s">
        <v>213</v>
      </c>
      <c r="F120" s="79"/>
      <c r="G120" s="61">
        <v>0</v>
      </c>
      <c r="H120" s="56">
        <v>0</v>
      </c>
      <c r="I120" s="56"/>
      <c r="J120" s="58">
        <v>0</v>
      </c>
      <c r="K120" s="56">
        <v>0</v>
      </c>
      <c r="L120" s="56">
        <v>0</v>
      </c>
      <c r="M120" s="61">
        <f t="shared" si="13"/>
        <v>0</v>
      </c>
      <c r="N120" s="56">
        <v>0</v>
      </c>
      <c r="O120" s="56">
        <v>0</v>
      </c>
      <c r="P120" s="58">
        <v>0</v>
      </c>
      <c r="Q120" s="58">
        <v>0</v>
      </c>
      <c r="R120" s="58">
        <v>0</v>
      </c>
      <c r="S120" s="61">
        <f t="shared" si="14"/>
        <v>0</v>
      </c>
      <c r="T120" s="56"/>
      <c r="U120" s="63">
        <f t="shared" si="15"/>
        <v>0</v>
      </c>
      <c r="V120" s="56">
        <f t="shared" si="16"/>
        <v>0</v>
      </c>
      <c r="W120" s="64">
        <f t="shared" si="17"/>
        <v>0</v>
      </c>
      <c r="X120" s="77"/>
      <c r="Y120" s="77"/>
      <c r="Z120" s="78">
        <f t="shared" si="18"/>
        <v>0</v>
      </c>
    </row>
    <row r="121" spans="1:26">
      <c r="A121" s="74" t="s">
        <v>220</v>
      </c>
      <c r="B121" s="75" t="s">
        <v>714</v>
      </c>
      <c r="C121" s="65">
        <v>262318</v>
      </c>
      <c r="D121" s="65" t="s">
        <v>68</v>
      </c>
      <c r="E121" s="65" t="s">
        <v>213</v>
      </c>
      <c r="F121" s="79"/>
      <c r="G121" s="61">
        <v>0</v>
      </c>
      <c r="H121" s="56">
        <v>0</v>
      </c>
      <c r="I121" s="56"/>
      <c r="J121" s="58">
        <v>0</v>
      </c>
      <c r="K121" s="56">
        <v>0</v>
      </c>
      <c r="L121" s="56">
        <v>0</v>
      </c>
      <c r="M121" s="61">
        <f t="shared" si="13"/>
        <v>0</v>
      </c>
      <c r="N121" s="56">
        <v>0</v>
      </c>
      <c r="O121" s="56">
        <v>0</v>
      </c>
      <c r="P121" s="58">
        <v>0</v>
      </c>
      <c r="Q121" s="58">
        <v>0</v>
      </c>
      <c r="R121" s="58">
        <v>0</v>
      </c>
      <c r="S121" s="61">
        <f t="shared" si="14"/>
        <v>0</v>
      </c>
      <c r="T121" s="56"/>
      <c r="U121" s="63">
        <f t="shared" si="15"/>
        <v>0</v>
      </c>
      <c r="V121" s="56">
        <f t="shared" si="16"/>
        <v>0</v>
      </c>
      <c r="W121" s="64">
        <f t="shared" si="17"/>
        <v>0</v>
      </c>
      <c r="X121" s="58"/>
      <c r="Z121" s="11">
        <f t="shared" si="18"/>
        <v>0</v>
      </c>
    </row>
    <row r="122" spans="1:26">
      <c r="A122" s="74" t="s">
        <v>221</v>
      </c>
      <c r="B122" s="75" t="s">
        <v>715</v>
      </c>
      <c r="C122" s="65">
        <v>262400</v>
      </c>
      <c r="D122" s="65" t="s">
        <v>145</v>
      </c>
      <c r="E122" s="65" t="s">
        <v>196</v>
      </c>
      <c r="F122" s="79"/>
      <c r="G122" s="61">
        <v>0</v>
      </c>
      <c r="H122" s="56">
        <v>0</v>
      </c>
      <c r="I122" s="56"/>
      <c r="J122" s="58">
        <v>0</v>
      </c>
      <c r="K122" s="56">
        <v>0</v>
      </c>
      <c r="L122" s="56">
        <v>0</v>
      </c>
      <c r="M122" s="61">
        <f t="shared" si="13"/>
        <v>0</v>
      </c>
      <c r="N122" s="56">
        <v>0</v>
      </c>
      <c r="O122" s="56">
        <v>0</v>
      </c>
      <c r="P122" s="58">
        <v>0</v>
      </c>
      <c r="Q122" s="58">
        <v>0</v>
      </c>
      <c r="R122" s="58">
        <v>0</v>
      </c>
      <c r="S122" s="61">
        <f t="shared" si="14"/>
        <v>0</v>
      </c>
      <c r="T122" s="56"/>
      <c r="U122" s="63">
        <f t="shared" si="15"/>
        <v>0</v>
      </c>
      <c r="V122" s="56">
        <f t="shared" si="16"/>
        <v>0</v>
      </c>
      <c r="W122" s="64">
        <f t="shared" si="17"/>
        <v>0</v>
      </c>
      <c r="Z122" s="11">
        <f t="shared" si="18"/>
        <v>0</v>
      </c>
    </row>
    <row r="123" spans="1:26">
      <c r="A123" s="74" t="s">
        <v>222</v>
      </c>
      <c r="B123" s="75" t="s">
        <v>716</v>
      </c>
      <c r="C123" s="65">
        <v>262420</v>
      </c>
      <c r="D123" s="65" t="s">
        <v>145</v>
      </c>
      <c r="E123" s="65" t="s">
        <v>196</v>
      </c>
      <c r="F123" s="79"/>
      <c r="G123" s="61">
        <v>-4181876</v>
      </c>
      <c r="H123" s="56">
        <v>-1418261</v>
      </c>
      <c r="I123" s="56"/>
      <c r="J123" s="58">
        <v>0</v>
      </c>
      <c r="K123" s="56">
        <v>0</v>
      </c>
      <c r="L123" s="56">
        <v>0</v>
      </c>
      <c r="M123" s="61">
        <f t="shared" si="13"/>
        <v>-5600137</v>
      </c>
      <c r="N123" s="56">
        <v>0</v>
      </c>
      <c r="O123" s="56">
        <v>0</v>
      </c>
      <c r="P123" s="58">
        <v>0</v>
      </c>
      <c r="Q123" s="58">
        <v>0</v>
      </c>
      <c r="R123" s="58">
        <v>0</v>
      </c>
      <c r="S123" s="61">
        <f t="shared" si="14"/>
        <v>-5600137</v>
      </c>
      <c r="T123" s="56"/>
      <c r="U123" s="63">
        <f t="shared" si="15"/>
        <v>0</v>
      </c>
      <c r="V123" s="56">
        <f t="shared" si="16"/>
        <v>2178453.2929999996</v>
      </c>
      <c r="W123" s="64">
        <f t="shared" si="17"/>
        <v>-2178453.2929999996</v>
      </c>
      <c r="Z123" s="11">
        <f t="shared" si="18"/>
        <v>0</v>
      </c>
    </row>
    <row r="124" spans="1:26" ht="15">
      <c r="A124" s="74" t="s">
        <v>223</v>
      </c>
      <c r="B124" s="75" t="s">
        <v>717</v>
      </c>
      <c r="C124" s="54">
        <v>265650</v>
      </c>
      <c r="D124" s="54" t="s">
        <v>68</v>
      </c>
      <c r="E124" s="54" t="s">
        <v>72</v>
      </c>
      <c r="F124" s="79"/>
      <c r="G124" s="61">
        <v>0</v>
      </c>
      <c r="H124" s="56">
        <v>0</v>
      </c>
      <c r="I124" s="56"/>
      <c r="J124" s="58">
        <v>0</v>
      </c>
      <c r="K124" s="56">
        <v>0</v>
      </c>
      <c r="L124" s="56">
        <v>0</v>
      </c>
      <c r="M124" s="61">
        <f t="shared" si="13"/>
        <v>0</v>
      </c>
      <c r="N124" s="56">
        <v>0</v>
      </c>
      <c r="O124" s="56">
        <v>0</v>
      </c>
      <c r="P124" s="58">
        <v>0</v>
      </c>
      <c r="Q124" s="58">
        <v>0</v>
      </c>
      <c r="R124" s="58">
        <v>0</v>
      </c>
      <c r="S124" s="61">
        <f t="shared" si="14"/>
        <v>0</v>
      </c>
      <c r="T124" s="56"/>
      <c r="U124" s="63">
        <f t="shared" si="15"/>
        <v>0</v>
      </c>
      <c r="V124" s="56">
        <f t="shared" si="16"/>
        <v>0</v>
      </c>
      <c r="W124" s="64">
        <f t="shared" si="17"/>
        <v>0</v>
      </c>
      <c r="X124" s="77"/>
      <c r="Y124" s="77"/>
      <c r="Z124" s="78">
        <f t="shared" si="18"/>
        <v>0</v>
      </c>
    </row>
    <row r="125" spans="1:26">
      <c r="A125" s="74" t="s">
        <v>224</v>
      </c>
      <c r="B125" s="75" t="s">
        <v>718</v>
      </c>
      <c r="C125" s="54">
        <v>271200</v>
      </c>
      <c r="D125" s="54" t="s">
        <v>145</v>
      </c>
      <c r="E125" s="54" t="s">
        <v>196</v>
      </c>
      <c r="F125" s="79"/>
      <c r="G125" s="61">
        <v>-10775675</v>
      </c>
      <c r="H125" s="56">
        <v>1418262</v>
      </c>
      <c r="I125" s="56"/>
      <c r="J125" s="58">
        <v>0</v>
      </c>
      <c r="K125" s="56">
        <v>0</v>
      </c>
      <c r="L125" s="56">
        <v>0</v>
      </c>
      <c r="M125" s="61">
        <f t="shared" si="13"/>
        <v>-9357413</v>
      </c>
      <c r="N125" s="56">
        <v>-1240031</v>
      </c>
      <c r="O125" s="56">
        <v>0</v>
      </c>
      <c r="P125" s="58">
        <v>0</v>
      </c>
      <c r="Q125" s="58">
        <v>0</v>
      </c>
      <c r="R125" s="58">
        <v>0</v>
      </c>
      <c r="S125" s="61">
        <f t="shared" si="14"/>
        <v>-10597444</v>
      </c>
      <c r="T125" s="56"/>
      <c r="U125" s="63">
        <f t="shared" si="15"/>
        <v>0</v>
      </c>
      <c r="V125" s="56">
        <f t="shared" si="16"/>
        <v>4122405.7159999995</v>
      </c>
      <c r="W125" s="64">
        <f t="shared" si="17"/>
        <v>-4122405.7159999995</v>
      </c>
      <c r="Z125" s="11">
        <f t="shared" si="18"/>
        <v>0</v>
      </c>
    </row>
    <row r="126" spans="1:26">
      <c r="A126" s="74" t="s">
        <v>225</v>
      </c>
      <c r="B126" s="75" t="s">
        <v>719</v>
      </c>
      <c r="C126" s="54">
        <v>271300</v>
      </c>
      <c r="D126" s="54" t="s">
        <v>68</v>
      </c>
      <c r="E126" s="54" t="s">
        <v>196</v>
      </c>
      <c r="F126" s="79"/>
      <c r="G126" s="61">
        <v>0</v>
      </c>
      <c r="H126" s="56">
        <v>0</v>
      </c>
      <c r="I126" s="56"/>
      <c r="J126" s="58">
        <v>0</v>
      </c>
      <c r="K126" s="56">
        <v>0</v>
      </c>
      <c r="L126" s="56">
        <v>0</v>
      </c>
      <c r="M126" s="61">
        <f t="shared" si="13"/>
        <v>0</v>
      </c>
      <c r="N126" s="56">
        <v>0</v>
      </c>
      <c r="O126" s="56">
        <v>0</v>
      </c>
      <c r="P126" s="58">
        <v>0</v>
      </c>
      <c r="Q126" s="58">
        <v>0</v>
      </c>
      <c r="R126" s="58">
        <v>0</v>
      </c>
      <c r="S126" s="61">
        <f t="shared" si="14"/>
        <v>0</v>
      </c>
      <c r="T126" s="56"/>
      <c r="U126" s="63">
        <f t="shared" si="15"/>
        <v>0</v>
      </c>
      <c r="V126" s="56">
        <f t="shared" si="16"/>
        <v>0</v>
      </c>
      <c r="W126" s="64">
        <f t="shared" si="17"/>
        <v>0</v>
      </c>
      <c r="X126" s="58"/>
      <c r="Z126" s="11">
        <f t="shared" si="18"/>
        <v>0</v>
      </c>
    </row>
    <row r="127" spans="1:26">
      <c r="A127" s="74" t="s">
        <v>226</v>
      </c>
      <c r="B127" s="75" t="s">
        <v>720</v>
      </c>
      <c r="C127" s="54">
        <v>272000</v>
      </c>
      <c r="D127" s="54" t="s">
        <v>68</v>
      </c>
      <c r="E127" s="54" t="s">
        <v>90</v>
      </c>
      <c r="F127" s="79"/>
      <c r="G127" s="61">
        <v>0</v>
      </c>
      <c r="H127" s="56">
        <v>0</v>
      </c>
      <c r="I127" s="56"/>
      <c r="J127" s="58">
        <v>0</v>
      </c>
      <c r="K127" s="56">
        <v>0</v>
      </c>
      <c r="L127" s="56">
        <v>0</v>
      </c>
      <c r="M127" s="61">
        <f t="shared" si="13"/>
        <v>0</v>
      </c>
      <c r="N127" s="56">
        <v>0</v>
      </c>
      <c r="O127" s="56">
        <v>0</v>
      </c>
      <c r="P127" s="58">
        <v>0</v>
      </c>
      <c r="Q127" s="58">
        <v>0</v>
      </c>
      <c r="R127" s="58">
        <v>0</v>
      </c>
      <c r="S127" s="61">
        <f t="shared" si="14"/>
        <v>0</v>
      </c>
      <c r="T127" s="56"/>
      <c r="U127" s="63">
        <f t="shared" si="15"/>
        <v>0</v>
      </c>
      <c r="V127" s="56">
        <f t="shared" si="16"/>
        <v>0</v>
      </c>
      <c r="W127" s="64">
        <f t="shared" si="17"/>
        <v>0</v>
      </c>
      <c r="X127" s="58"/>
      <c r="Z127" s="11">
        <f t="shared" si="18"/>
        <v>0</v>
      </c>
    </row>
    <row r="128" spans="1:26">
      <c r="A128" s="74" t="s">
        <v>227</v>
      </c>
      <c r="B128" s="75" t="s">
        <v>721</v>
      </c>
      <c r="C128" s="65">
        <v>272100</v>
      </c>
      <c r="D128" s="65" t="s">
        <v>68</v>
      </c>
      <c r="E128" s="65" t="s">
        <v>90</v>
      </c>
      <c r="F128" s="79"/>
      <c r="G128" s="61">
        <v>0</v>
      </c>
      <c r="H128" s="56">
        <v>0</v>
      </c>
      <c r="I128" s="56"/>
      <c r="J128" s="58">
        <v>0</v>
      </c>
      <c r="K128" s="56">
        <v>0</v>
      </c>
      <c r="L128" s="56">
        <v>0</v>
      </c>
      <c r="M128" s="61">
        <f t="shared" si="13"/>
        <v>0</v>
      </c>
      <c r="N128" s="56">
        <v>0</v>
      </c>
      <c r="O128" s="56">
        <v>0</v>
      </c>
      <c r="P128" s="58">
        <v>0</v>
      </c>
      <c r="Q128" s="58">
        <v>0</v>
      </c>
      <c r="R128" s="58">
        <v>0</v>
      </c>
      <c r="S128" s="61">
        <f t="shared" si="14"/>
        <v>0</v>
      </c>
      <c r="T128" s="56"/>
      <c r="U128" s="63">
        <f t="shared" si="15"/>
        <v>0</v>
      </c>
      <c r="V128" s="56">
        <f t="shared" si="16"/>
        <v>0</v>
      </c>
      <c r="W128" s="64">
        <f t="shared" si="17"/>
        <v>0</v>
      </c>
      <c r="X128" s="58"/>
      <c r="Z128" s="11">
        <f t="shared" si="18"/>
        <v>0</v>
      </c>
    </row>
    <row r="129" spans="1:26">
      <c r="A129" s="74" t="s">
        <v>228</v>
      </c>
      <c r="B129" s="75" t="s">
        <v>722</v>
      </c>
      <c r="C129" s="65">
        <v>900100</v>
      </c>
      <c r="D129" s="65" t="s">
        <v>93</v>
      </c>
      <c r="E129" s="65" t="s">
        <v>90</v>
      </c>
      <c r="F129" s="79"/>
      <c r="G129" s="61">
        <v>0</v>
      </c>
      <c r="H129" s="56">
        <v>0</v>
      </c>
      <c r="I129" s="56"/>
      <c r="J129" s="58">
        <v>0</v>
      </c>
      <c r="K129" s="56">
        <v>0</v>
      </c>
      <c r="L129" s="56">
        <v>0</v>
      </c>
      <c r="M129" s="61">
        <f t="shared" si="13"/>
        <v>0</v>
      </c>
      <c r="N129" s="56">
        <v>0</v>
      </c>
      <c r="O129" s="56">
        <v>0</v>
      </c>
      <c r="P129" s="58">
        <v>0</v>
      </c>
      <c r="Q129" s="58">
        <v>0</v>
      </c>
      <c r="R129" s="58">
        <v>0</v>
      </c>
      <c r="S129" s="61">
        <f t="shared" si="14"/>
        <v>0</v>
      </c>
      <c r="T129" s="56"/>
      <c r="U129" s="63">
        <f t="shared" si="15"/>
        <v>0</v>
      </c>
      <c r="V129" s="56">
        <f t="shared" si="16"/>
        <v>0</v>
      </c>
      <c r="W129" s="64">
        <f t="shared" si="17"/>
        <v>0</v>
      </c>
      <c r="Z129" s="11">
        <f t="shared" si="18"/>
        <v>0</v>
      </c>
    </row>
    <row r="130" spans="1:26">
      <c r="A130" s="74" t="s">
        <v>229</v>
      </c>
      <c r="B130" s="75" t="s">
        <v>723</v>
      </c>
      <c r="C130" s="65">
        <v>236320</v>
      </c>
      <c r="D130" s="65" t="s">
        <v>76</v>
      </c>
      <c r="E130" s="65" t="s">
        <v>72</v>
      </c>
      <c r="F130" s="79"/>
      <c r="G130" s="61">
        <v>0</v>
      </c>
      <c r="H130" s="56">
        <v>0</v>
      </c>
      <c r="I130" s="56"/>
      <c r="J130" s="58">
        <v>0</v>
      </c>
      <c r="K130" s="56">
        <v>0</v>
      </c>
      <c r="L130" s="56">
        <v>0</v>
      </c>
      <c r="M130" s="61">
        <f t="shared" si="13"/>
        <v>0</v>
      </c>
      <c r="N130" s="56">
        <v>0</v>
      </c>
      <c r="O130" s="56">
        <v>0</v>
      </c>
      <c r="P130" s="58">
        <v>0</v>
      </c>
      <c r="Q130" s="58">
        <v>0</v>
      </c>
      <c r="R130" s="58">
        <v>0</v>
      </c>
      <c r="S130" s="61">
        <f t="shared" si="14"/>
        <v>0</v>
      </c>
      <c r="T130" s="56"/>
      <c r="U130" s="63">
        <f t="shared" si="15"/>
        <v>0</v>
      </c>
      <c r="V130" s="56">
        <f t="shared" si="16"/>
        <v>0</v>
      </c>
      <c r="W130" s="64">
        <f t="shared" si="17"/>
        <v>0</v>
      </c>
      <c r="Z130" s="11">
        <f t="shared" si="18"/>
        <v>0</v>
      </c>
    </row>
    <row r="131" spans="1:26">
      <c r="A131" s="74" t="s">
        <v>230</v>
      </c>
      <c r="B131" s="75" t="s">
        <v>724</v>
      </c>
      <c r="C131" s="65">
        <v>253220</v>
      </c>
      <c r="D131" s="65" t="s">
        <v>76</v>
      </c>
      <c r="E131" s="65" t="s">
        <v>72</v>
      </c>
      <c r="F131" s="79"/>
      <c r="G131" s="61">
        <v>0</v>
      </c>
      <c r="H131" s="56">
        <v>0</v>
      </c>
      <c r="I131" s="56"/>
      <c r="J131" s="58">
        <v>0</v>
      </c>
      <c r="K131" s="56">
        <v>0</v>
      </c>
      <c r="L131" s="56">
        <v>0</v>
      </c>
      <c r="M131" s="61">
        <f t="shared" si="13"/>
        <v>0</v>
      </c>
      <c r="N131" s="56">
        <v>0</v>
      </c>
      <c r="O131" s="56">
        <v>0</v>
      </c>
      <c r="P131" s="58">
        <v>0</v>
      </c>
      <c r="Q131" s="58">
        <v>0</v>
      </c>
      <c r="R131" s="58">
        <v>0</v>
      </c>
      <c r="S131" s="61">
        <f t="shared" si="14"/>
        <v>0</v>
      </c>
      <c r="T131" s="56"/>
      <c r="U131" s="63">
        <f t="shared" si="15"/>
        <v>0</v>
      </c>
      <c r="V131" s="56">
        <f t="shared" si="16"/>
        <v>0</v>
      </c>
      <c r="W131" s="64">
        <f t="shared" si="17"/>
        <v>0</v>
      </c>
      <c r="Z131" s="11">
        <f t="shared" si="18"/>
        <v>0</v>
      </c>
    </row>
    <row r="132" spans="1:26">
      <c r="A132" s="74" t="s">
        <v>231</v>
      </c>
      <c r="B132" s="75" t="s">
        <v>725</v>
      </c>
      <c r="C132" s="65">
        <v>255105</v>
      </c>
      <c r="D132" s="65" t="s">
        <v>76</v>
      </c>
      <c r="E132" s="65" t="s">
        <v>72</v>
      </c>
      <c r="F132" s="79"/>
      <c r="G132" s="61">
        <v>0</v>
      </c>
      <c r="H132" s="56">
        <v>0</v>
      </c>
      <c r="I132" s="56"/>
      <c r="J132" s="58">
        <v>0</v>
      </c>
      <c r="K132" s="56">
        <v>0</v>
      </c>
      <c r="L132" s="56">
        <v>0</v>
      </c>
      <c r="M132" s="61">
        <f t="shared" si="13"/>
        <v>0</v>
      </c>
      <c r="N132" s="56">
        <v>0</v>
      </c>
      <c r="O132" s="56">
        <v>0</v>
      </c>
      <c r="P132" s="58">
        <v>0</v>
      </c>
      <c r="Q132" s="58">
        <v>0</v>
      </c>
      <c r="R132" s="58">
        <v>0</v>
      </c>
      <c r="S132" s="61">
        <f t="shared" si="14"/>
        <v>0</v>
      </c>
      <c r="T132" s="56"/>
      <c r="U132" s="63">
        <f t="shared" si="15"/>
        <v>0</v>
      </c>
      <c r="V132" s="56">
        <f t="shared" si="16"/>
        <v>0</v>
      </c>
      <c r="W132" s="64">
        <f t="shared" si="17"/>
        <v>0</v>
      </c>
      <c r="Z132" s="11">
        <f t="shared" si="18"/>
        <v>0</v>
      </c>
    </row>
    <row r="133" spans="1:26">
      <c r="A133" s="74" t="s">
        <v>232</v>
      </c>
      <c r="B133" s="75" t="s">
        <v>726</v>
      </c>
      <c r="C133" s="65">
        <v>210240</v>
      </c>
      <c r="D133" s="65" t="s">
        <v>76</v>
      </c>
      <c r="E133" s="65" t="s">
        <v>72</v>
      </c>
      <c r="F133" s="79"/>
      <c r="G133" s="61">
        <v>0</v>
      </c>
      <c r="H133" s="56">
        <v>0</v>
      </c>
      <c r="I133" s="56"/>
      <c r="J133" s="58">
        <v>0</v>
      </c>
      <c r="K133" s="56">
        <v>0</v>
      </c>
      <c r="L133" s="56">
        <v>0</v>
      </c>
      <c r="M133" s="61">
        <f t="shared" si="13"/>
        <v>0</v>
      </c>
      <c r="N133" s="56">
        <v>0</v>
      </c>
      <c r="O133" s="56">
        <v>0</v>
      </c>
      <c r="P133" s="58">
        <v>0</v>
      </c>
      <c r="Q133" s="58">
        <v>0</v>
      </c>
      <c r="R133" s="58">
        <v>0</v>
      </c>
      <c r="S133" s="61">
        <f t="shared" si="14"/>
        <v>0</v>
      </c>
      <c r="T133" s="56"/>
      <c r="U133" s="63">
        <f t="shared" si="15"/>
        <v>0</v>
      </c>
      <c r="V133" s="56">
        <f t="shared" si="16"/>
        <v>0</v>
      </c>
      <c r="W133" s="64">
        <f t="shared" si="17"/>
        <v>0</v>
      </c>
      <c r="Z133" s="11">
        <f t="shared" si="18"/>
        <v>0</v>
      </c>
    </row>
    <row r="134" spans="1:26">
      <c r="A134" s="74" t="s">
        <v>233</v>
      </c>
      <c r="B134" s="75" t="s">
        <v>234</v>
      </c>
      <c r="C134" s="65">
        <v>210240</v>
      </c>
      <c r="D134" s="65" t="s">
        <v>76</v>
      </c>
      <c r="E134" s="65" t="s">
        <v>72</v>
      </c>
      <c r="F134" s="79"/>
      <c r="G134" s="61">
        <v>0</v>
      </c>
      <c r="H134" s="56">
        <v>0</v>
      </c>
      <c r="I134" s="56"/>
      <c r="J134" s="58">
        <v>0</v>
      </c>
      <c r="K134" s="56">
        <v>0</v>
      </c>
      <c r="L134" s="56">
        <v>0</v>
      </c>
      <c r="M134" s="61">
        <f t="shared" si="13"/>
        <v>0</v>
      </c>
      <c r="N134" s="56">
        <v>0</v>
      </c>
      <c r="O134" s="56">
        <v>0</v>
      </c>
      <c r="P134" s="58">
        <v>0</v>
      </c>
      <c r="Q134" s="58">
        <v>0</v>
      </c>
      <c r="R134" s="58">
        <v>0</v>
      </c>
      <c r="S134" s="61">
        <f t="shared" si="14"/>
        <v>0</v>
      </c>
      <c r="T134" s="56"/>
      <c r="U134" s="63">
        <f t="shared" si="15"/>
        <v>0</v>
      </c>
      <c r="V134" s="56">
        <f t="shared" si="16"/>
        <v>0</v>
      </c>
      <c r="W134" s="64">
        <f t="shared" si="17"/>
        <v>0</v>
      </c>
      <c r="Z134" s="11">
        <f t="shared" si="18"/>
        <v>0</v>
      </c>
    </row>
    <row r="135" spans="1:26">
      <c r="A135" s="74" t="s">
        <v>235</v>
      </c>
      <c r="B135" s="75" t="s">
        <v>236</v>
      </c>
      <c r="C135" s="65">
        <v>236150</v>
      </c>
      <c r="D135" s="65" t="s">
        <v>76</v>
      </c>
      <c r="E135" s="65" t="s">
        <v>237</v>
      </c>
      <c r="F135" s="79"/>
      <c r="G135" s="61">
        <v>0</v>
      </c>
      <c r="H135" s="56">
        <v>0</v>
      </c>
      <c r="I135" s="56"/>
      <c r="J135" s="58">
        <v>0</v>
      </c>
      <c r="K135" s="56">
        <v>0</v>
      </c>
      <c r="L135" s="56">
        <v>0</v>
      </c>
      <c r="M135" s="61">
        <f t="shared" si="13"/>
        <v>0</v>
      </c>
      <c r="N135" s="56">
        <v>0</v>
      </c>
      <c r="O135" s="56">
        <v>0</v>
      </c>
      <c r="P135" s="58">
        <v>0</v>
      </c>
      <c r="Q135" s="58">
        <v>0</v>
      </c>
      <c r="R135" s="58">
        <v>0</v>
      </c>
      <c r="S135" s="61">
        <f t="shared" si="14"/>
        <v>0</v>
      </c>
      <c r="T135" s="56"/>
      <c r="U135" s="63">
        <f t="shared" si="15"/>
        <v>0</v>
      </c>
      <c r="V135" s="56">
        <f t="shared" si="16"/>
        <v>0</v>
      </c>
      <c r="W135" s="64">
        <f t="shared" si="17"/>
        <v>0</v>
      </c>
      <c r="Z135" s="11">
        <f t="shared" si="18"/>
        <v>0</v>
      </c>
    </row>
    <row r="136" spans="1:26">
      <c r="A136" s="74" t="s">
        <v>238</v>
      </c>
      <c r="B136" s="75" t="s">
        <v>239</v>
      </c>
      <c r="C136" s="65">
        <v>252200</v>
      </c>
      <c r="D136" s="65" t="s">
        <v>76</v>
      </c>
      <c r="E136" s="65" t="s">
        <v>196</v>
      </c>
      <c r="F136" s="79"/>
      <c r="G136" s="61">
        <v>0</v>
      </c>
      <c r="H136" s="56">
        <v>0</v>
      </c>
      <c r="I136" s="56"/>
      <c r="J136" s="58">
        <v>0</v>
      </c>
      <c r="K136" s="56">
        <v>0</v>
      </c>
      <c r="L136" s="56">
        <v>0</v>
      </c>
      <c r="M136" s="61">
        <f t="shared" si="13"/>
        <v>0</v>
      </c>
      <c r="N136" s="56">
        <v>0</v>
      </c>
      <c r="O136" s="56">
        <v>0</v>
      </c>
      <c r="P136" s="58">
        <v>0</v>
      </c>
      <c r="Q136" s="58">
        <v>0</v>
      </c>
      <c r="R136" s="58">
        <v>0</v>
      </c>
      <c r="S136" s="61">
        <f t="shared" si="14"/>
        <v>0</v>
      </c>
      <c r="T136" s="56"/>
      <c r="U136" s="63">
        <f t="shared" si="15"/>
        <v>0</v>
      </c>
      <c r="V136" s="56">
        <f t="shared" si="16"/>
        <v>0</v>
      </c>
      <c r="W136" s="64">
        <f t="shared" si="17"/>
        <v>0</v>
      </c>
      <c r="Z136" s="11">
        <f t="shared" si="18"/>
        <v>0</v>
      </c>
    </row>
    <row r="137" spans="1:26">
      <c r="A137" s="74" t="s">
        <v>240</v>
      </c>
      <c r="B137" s="75" t="s">
        <v>241</v>
      </c>
      <c r="C137" s="65">
        <v>210240</v>
      </c>
      <c r="D137" s="65" t="s">
        <v>76</v>
      </c>
      <c r="E137" s="65" t="s">
        <v>72</v>
      </c>
      <c r="F137" s="79"/>
      <c r="G137" s="61">
        <v>0</v>
      </c>
      <c r="H137" s="56">
        <v>0</v>
      </c>
      <c r="I137" s="56"/>
      <c r="J137" s="58">
        <v>0</v>
      </c>
      <c r="K137" s="56">
        <v>0</v>
      </c>
      <c r="L137" s="56">
        <v>0</v>
      </c>
      <c r="M137" s="61">
        <f t="shared" si="13"/>
        <v>0</v>
      </c>
      <c r="N137" s="56">
        <v>0</v>
      </c>
      <c r="O137" s="56">
        <v>0</v>
      </c>
      <c r="P137" s="58">
        <v>0</v>
      </c>
      <c r="Q137" s="58">
        <v>0</v>
      </c>
      <c r="R137" s="58">
        <v>0</v>
      </c>
      <c r="S137" s="61">
        <f t="shared" si="14"/>
        <v>0</v>
      </c>
      <c r="T137" s="56"/>
      <c r="U137" s="63">
        <f t="shared" si="15"/>
        <v>0</v>
      </c>
      <c r="V137" s="56">
        <f t="shared" si="16"/>
        <v>0</v>
      </c>
      <c r="W137" s="64">
        <f t="shared" si="17"/>
        <v>0</v>
      </c>
      <c r="Z137" s="11">
        <f t="shared" si="18"/>
        <v>0</v>
      </c>
    </row>
    <row r="138" spans="1:26">
      <c r="A138" s="74" t="s">
        <v>242</v>
      </c>
      <c r="B138" s="75" t="s">
        <v>243</v>
      </c>
      <c r="C138" s="65">
        <v>210240</v>
      </c>
      <c r="D138" s="65" t="s">
        <v>76</v>
      </c>
      <c r="E138" s="65" t="s">
        <v>72</v>
      </c>
      <c r="F138" s="79"/>
      <c r="G138" s="61">
        <v>0</v>
      </c>
      <c r="H138" s="56">
        <v>0</v>
      </c>
      <c r="I138" s="56"/>
      <c r="J138" s="58">
        <v>0</v>
      </c>
      <c r="K138" s="56">
        <v>0</v>
      </c>
      <c r="L138" s="56">
        <v>0</v>
      </c>
      <c r="M138" s="61">
        <f t="shared" si="13"/>
        <v>0</v>
      </c>
      <c r="N138" s="56">
        <v>0</v>
      </c>
      <c r="O138" s="56">
        <v>0</v>
      </c>
      <c r="P138" s="58">
        <v>0</v>
      </c>
      <c r="Q138" s="58">
        <v>0</v>
      </c>
      <c r="R138" s="58">
        <v>0</v>
      </c>
      <c r="S138" s="61">
        <f t="shared" si="14"/>
        <v>0</v>
      </c>
      <c r="T138" s="56"/>
      <c r="U138" s="63">
        <f t="shared" si="15"/>
        <v>0</v>
      </c>
      <c r="V138" s="56">
        <f t="shared" si="16"/>
        <v>0</v>
      </c>
      <c r="W138" s="64">
        <f t="shared" si="17"/>
        <v>0</v>
      </c>
      <c r="Z138" s="11">
        <f t="shared" si="18"/>
        <v>0</v>
      </c>
    </row>
    <row r="139" spans="1:26">
      <c r="A139" s="74" t="s">
        <v>244</v>
      </c>
      <c r="B139" s="75" t="s">
        <v>245</v>
      </c>
      <c r="C139" s="65">
        <v>210240</v>
      </c>
      <c r="D139" s="65" t="s">
        <v>76</v>
      </c>
      <c r="E139" s="65" t="s">
        <v>95</v>
      </c>
      <c r="F139" s="79"/>
      <c r="G139" s="61">
        <v>0</v>
      </c>
      <c r="H139" s="56">
        <v>0</v>
      </c>
      <c r="I139" s="56"/>
      <c r="J139" s="58">
        <v>0</v>
      </c>
      <c r="K139" s="56">
        <v>0</v>
      </c>
      <c r="L139" s="56">
        <v>0</v>
      </c>
      <c r="M139" s="61">
        <f t="shared" si="13"/>
        <v>0</v>
      </c>
      <c r="N139" s="56">
        <v>0</v>
      </c>
      <c r="O139" s="56">
        <v>0</v>
      </c>
      <c r="P139" s="58">
        <v>0</v>
      </c>
      <c r="Q139" s="58">
        <v>0</v>
      </c>
      <c r="R139" s="58">
        <v>0</v>
      </c>
      <c r="S139" s="61">
        <f t="shared" si="14"/>
        <v>0</v>
      </c>
      <c r="T139" s="56"/>
      <c r="U139" s="63">
        <f t="shared" si="15"/>
        <v>0</v>
      </c>
      <c r="V139" s="56">
        <f t="shared" si="16"/>
        <v>0</v>
      </c>
      <c r="W139" s="64">
        <f t="shared" si="17"/>
        <v>0</v>
      </c>
      <c r="Z139" s="11">
        <f t="shared" si="18"/>
        <v>0</v>
      </c>
    </row>
    <row r="140" spans="1:26">
      <c r="A140" s="74" t="s">
        <v>246</v>
      </c>
      <c r="B140" s="75" t="s">
        <v>247</v>
      </c>
      <c r="C140" s="65"/>
      <c r="D140" s="65" t="s">
        <v>93</v>
      </c>
      <c r="E140" s="65" t="s">
        <v>118</v>
      </c>
      <c r="F140" s="79"/>
      <c r="G140" s="61">
        <v>1224649</v>
      </c>
      <c r="H140" s="56">
        <v>0</v>
      </c>
      <c r="I140" s="56"/>
      <c r="J140" s="58">
        <v>0</v>
      </c>
      <c r="K140" s="56">
        <v>0</v>
      </c>
      <c r="L140" s="56">
        <v>0</v>
      </c>
      <c r="M140" s="61">
        <f t="shared" si="13"/>
        <v>1224649</v>
      </c>
      <c r="N140" s="56">
        <v>0</v>
      </c>
      <c r="O140" s="56">
        <v>0</v>
      </c>
      <c r="P140" s="58">
        <v>0</v>
      </c>
      <c r="Q140" s="58">
        <v>0</v>
      </c>
      <c r="R140" s="58">
        <v>0</v>
      </c>
      <c r="S140" s="61">
        <f t="shared" si="14"/>
        <v>1224649</v>
      </c>
      <c r="T140" s="56"/>
      <c r="U140" s="63">
        <f t="shared" si="15"/>
        <v>476388.46099999995</v>
      </c>
      <c r="V140" s="56">
        <f t="shared" si="16"/>
        <v>0</v>
      </c>
      <c r="W140" s="64">
        <f t="shared" si="17"/>
        <v>476388.46099999995</v>
      </c>
      <c r="Z140" s="11">
        <f t="shared" si="18"/>
        <v>0</v>
      </c>
    </row>
    <row r="141" spans="1:26">
      <c r="A141" s="74" t="s">
        <v>248</v>
      </c>
      <c r="B141" s="75" t="s">
        <v>249</v>
      </c>
      <c r="C141" s="65">
        <v>255105</v>
      </c>
      <c r="D141" s="65" t="s">
        <v>76</v>
      </c>
      <c r="E141" s="65" t="s">
        <v>95</v>
      </c>
      <c r="F141" s="79"/>
      <c r="G141" s="61">
        <v>0</v>
      </c>
      <c r="H141" s="56">
        <v>0</v>
      </c>
      <c r="I141" s="56"/>
      <c r="J141" s="58">
        <v>0</v>
      </c>
      <c r="K141" s="56">
        <v>0</v>
      </c>
      <c r="L141" s="56">
        <v>0</v>
      </c>
      <c r="M141" s="61">
        <f t="shared" si="13"/>
        <v>0</v>
      </c>
      <c r="N141" s="56">
        <v>0</v>
      </c>
      <c r="O141" s="56">
        <v>0</v>
      </c>
      <c r="P141" s="58">
        <v>0</v>
      </c>
      <c r="Q141" s="58">
        <v>0</v>
      </c>
      <c r="R141" s="58">
        <v>0</v>
      </c>
      <c r="S141" s="61">
        <f t="shared" si="14"/>
        <v>0</v>
      </c>
      <c r="T141" s="56"/>
      <c r="U141" s="63">
        <f t="shared" si="15"/>
        <v>0</v>
      </c>
      <c r="V141" s="56">
        <f t="shared" si="16"/>
        <v>0</v>
      </c>
      <c r="W141" s="64">
        <f t="shared" si="17"/>
        <v>0</v>
      </c>
      <c r="Z141" s="11">
        <f t="shared" si="18"/>
        <v>0</v>
      </c>
    </row>
    <row r="142" spans="1:26">
      <c r="A142" s="74" t="s">
        <v>250</v>
      </c>
      <c r="B142" s="75" t="s">
        <v>251</v>
      </c>
      <c r="C142" s="65">
        <v>236320</v>
      </c>
      <c r="D142" s="65" t="s">
        <v>76</v>
      </c>
      <c r="E142" s="65" t="s">
        <v>95</v>
      </c>
      <c r="F142" s="79"/>
      <c r="G142" s="61">
        <v>0</v>
      </c>
      <c r="H142" s="56">
        <v>0</v>
      </c>
      <c r="I142" s="56"/>
      <c r="J142" s="58">
        <v>0</v>
      </c>
      <c r="K142" s="56">
        <v>0</v>
      </c>
      <c r="L142" s="56">
        <v>0</v>
      </c>
      <c r="M142" s="61">
        <f t="shared" si="13"/>
        <v>0</v>
      </c>
      <c r="N142" s="56">
        <v>0</v>
      </c>
      <c r="O142" s="56">
        <v>0</v>
      </c>
      <c r="P142" s="58">
        <v>0</v>
      </c>
      <c r="Q142" s="58">
        <v>0</v>
      </c>
      <c r="R142" s="58">
        <v>0</v>
      </c>
      <c r="S142" s="61">
        <f t="shared" si="14"/>
        <v>0</v>
      </c>
      <c r="T142" s="56"/>
      <c r="U142" s="63">
        <f t="shared" si="15"/>
        <v>0</v>
      </c>
      <c r="V142" s="56">
        <f t="shared" si="16"/>
        <v>0</v>
      </c>
      <c r="W142" s="64">
        <f t="shared" si="17"/>
        <v>0</v>
      </c>
      <c r="Z142" s="11">
        <f t="shared" si="18"/>
        <v>0</v>
      </c>
    </row>
    <row r="143" spans="1:26">
      <c r="A143" s="74" t="s">
        <v>252</v>
      </c>
      <c r="B143" s="75" t="s">
        <v>253</v>
      </c>
      <c r="C143" s="65">
        <v>253220</v>
      </c>
      <c r="D143" s="65" t="s">
        <v>76</v>
      </c>
      <c r="E143" s="65" t="s">
        <v>95</v>
      </c>
      <c r="F143" s="79"/>
      <c r="G143" s="61">
        <v>0</v>
      </c>
      <c r="H143" s="56">
        <v>0</v>
      </c>
      <c r="I143" s="56"/>
      <c r="J143" s="58">
        <v>0</v>
      </c>
      <c r="K143" s="56">
        <v>0</v>
      </c>
      <c r="L143" s="56">
        <v>0</v>
      </c>
      <c r="M143" s="61">
        <f t="shared" si="13"/>
        <v>0</v>
      </c>
      <c r="N143" s="56">
        <v>0</v>
      </c>
      <c r="O143" s="56">
        <v>0</v>
      </c>
      <c r="P143" s="58">
        <v>0</v>
      </c>
      <c r="Q143" s="58">
        <v>0</v>
      </c>
      <c r="R143" s="58">
        <v>0</v>
      </c>
      <c r="S143" s="61">
        <f t="shared" si="14"/>
        <v>0</v>
      </c>
      <c r="T143" s="56"/>
      <c r="U143" s="63">
        <f t="shared" si="15"/>
        <v>0</v>
      </c>
      <c r="V143" s="56">
        <f t="shared" si="16"/>
        <v>0</v>
      </c>
      <c r="W143" s="64">
        <f t="shared" si="17"/>
        <v>0</v>
      </c>
      <c r="Z143" s="11">
        <f t="shared" si="18"/>
        <v>0</v>
      </c>
    </row>
    <row r="144" spans="1:26">
      <c r="A144" s="57" t="s">
        <v>254</v>
      </c>
      <c r="B144" s="59" t="s">
        <v>727</v>
      </c>
      <c r="C144" s="54">
        <v>262210</v>
      </c>
      <c r="D144" s="54" t="s">
        <v>76</v>
      </c>
      <c r="E144" s="54" t="s">
        <v>173</v>
      </c>
      <c r="F144" s="79"/>
      <c r="G144" s="61">
        <v>0</v>
      </c>
      <c r="H144" s="56">
        <v>0</v>
      </c>
      <c r="I144" s="56"/>
      <c r="J144" s="58">
        <v>0</v>
      </c>
      <c r="K144" s="56">
        <v>0</v>
      </c>
      <c r="L144" s="56">
        <v>0</v>
      </c>
      <c r="M144" s="61">
        <f t="shared" si="13"/>
        <v>0</v>
      </c>
      <c r="N144" s="56">
        <v>0</v>
      </c>
      <c r="O144" s="56">
        <v>0</v>
      </c>
      <c r="P144" s="58">
        <v>0</v>
      </c>
      <c r="Q144" s="58">
        <v>0</v>
      </c>
      <c r="R144" s="58">
        <v>0</v>
      </c>
      <c r="S144" s="61">
        <f t="shared" si="14"/>
        <v>0</v>
      </c>
      <c r="T144" s="56"/>
      <c r="U144" s="63">
        <f t="shared" si="15"/>
        <v>0</v>
      </c>
      <c r="V144" s="56">
        <f t="shared" si="16"/>
        <v>0</v>
      </c>
      <c r="W144" s="64">
        <f t="shared" si="17"/>
        <v>0</v>
      </c>
      <c r="X144" s="58"/>
      <c r="Z144" s="11">
        <f t="shared" si="18"/>
        <v>0</v>
      </c>
    </row>
    <row r="145" spans="1:26">
      <c r="A145" s="57" t="s">
        <v>86</v>
      </c>
      <c r="B145" s="59" t="s">
        <v>255</v>
      </c>
      <c r="C145" s="59"/>
      <c r="D145" s="18" t="s">
        <v>68</v>
      </c>
      <c r="E145" s="54" t="s">
        <v>196</v>
      </c>
      <c r="F145" s="79"/>
      <c r="G145" s="61">
        <v>1226519</v>
      </c>
      <c r="H145" s="56">
        <v>0</v>
      </c>
      <c r="I145" s="56"/>
      <c r="J145" s="58">
        <v>0</v>
      </c>
      <c r="K145" s="56">
        <v>0</v>
      </c>
      <c r="L145" s="56">
        <v>0</v>
      </c>
      <c r="M145" s="61">
        <f t="shared" si="13"/>
        <v>1226519</v>
      </c>
      <c r="N145" s="56">
        <v>0</v>
      </c>
      <c r="O145" s="56">
        <v>0</v>
      </c>
      <c r="P145" s="58">
        <v>0</v>
      </c>
      <c r="Q145" s="58">
        <v>0</v>
      </c>
      <c r="R145" s="58">
        <v>0</v>
      </c>
      <c r="S145" s="61">
        <f t="shared" si="14"/>
        <v>1226519</v>
      </c>
      <c r="T145" s="56"/>
      <c r="U145" s="63">
        <f t="shared" si="15"/>
        <v>477115.89099999995</v>
      </c>
      <c r="V145" s="56">
        <f t="shared" si="16"/>
        <v>0</v>
      </c>
      <c r="W145" s="64">
        <f t="shared" si="17"/>
        <v>477115.89099999995</v>
      </c>
      <c r="X145" s="58"/>
      <c r="Z145" s="11">
        <f t="shared" si="18"/>
        <v>0</v>
      </c>
    </row>
    <row r="146" spans="1:26">
      <c r="A146" s="57" t="s">
        <v>86</v>
      </c>
      <c r="B146" s="59" t="s">
        <v>256</v>
      </c>
      <c r="C146" s="59">
        <v>0</v>
      </c>
      <c r="D146" s="18" t="s">
        <v>76</v>
      </c>
      <c r="E146" s="54" t="s">
        <v>257</v>
      </c>
      <c r="F146" s="79"/>
      <c r="G146" s="61">
        <v>0</v>
      </c>
      <c r="H146" s="56">
        <v>0</v>
      </c>
      <c r="I146" s="56"/>
      <c r="J146" s="58">
        <v>0</v>
      </c>
      <c r="K146" s="56">
        <v>0</v>
      </c>
      <c r="L146" s="56">
        <v>0</v>
      </c>
      <c r="M146" s="61">
        <f t="shared" si="13"/>
        <v>0</v>
      </c>
      <c r="N146" s="56">
        <v>0</v>
      </c>
      <c r="O146" s="56">
        <v>0</v>
      </c>
      <c r="P146" s="58">
        <v>0</v>
      </c>
      <c r="Q146" s="58">
        <v>0</v>
      </c>
      <c r="R146" s="58">
        <v>0</v>
      </c>
      <c r="S146" s="61">
        <f t="shared" si="14"/>
        <v>0</v>
      </c>
      <c r="T146" s="56"/>
      <c r="U146" s="63">
        <f t="shared" si="15"/>
        <v>0</v>
      </c>
      <c r="V146" s="56">
        <f t="shared" si="16"/>
        <v>0</v>
      </c>
      <c r="W146" s="64">
        <f t="shared" si="17"/>
        <v>0</v>
      </c>
      <c r="X146" s="58"/>
      <c r="Z146" s="11">
        <f t="shared" si="18"/>
        <v>0</v>
      </c>
    </row>
    <row r="147" spans="1:26">
      <c r="A147" s="57" t="s">
        <v>86</v>
      </c>
      <c r="B147" s="59" t="s">
        <v>258</v>
      </c>
      <c r="C147" s="59"/>
      <c r="D147" s="18" t="s">
        <v>68</v>
      </c>
      <c r="E147" s="54" t="s">
        <v>72</v>
      </c>
      <c r="F147" s="79"/>
      <c r="G147" s="61">
        <v>0</v>
      </c>
      <c r="H147" s="56">
        <v>0</v>
      </c>
      <c r="I147" s="56"/>
      <c r="J147" s="58">
        <v>0</v>
      </c>
      <c r="K147" s="56">
        <v>0</v>
      </c>
      <c r="L147" s="56">
        <v>0</v>
      </c>
      <c r="M147" s="61">
        <f t="shared" si="13"/>
        <v>0</v>
      </c>
      <c r="N147" s="56">
        <v>0</v>
      </c>
      <c r="O147" s="56">
        <v>0</v>
      </c>
      <c r="P147" s="58">
        <v>0</v>
      </c>
      <c r="Q147" s="58">
        <v>0</v>
      </c>
      <c r="R147" s="58">
        <v>0</v>
      </c>
      <c r="S147" s="61">
        <f t="shared" si="14"/>
        <v>0</v>
      </c>
      <c r="T147" s="56"/>
      <c r="U147" s="63">
        <f t="shared" si="15"/>
        <v>0</v>
      </c>
      <c r="V147" s="56">
        <f t="shared" si="16"/>
        <v>0</v>
      </c>
      <c r="W147" s="64">
        <f t="shared" si="17"/>
        <v>0</v>
      </c>
      <c r="X147" s="58"/>
      <c r="Z147" s="11">
        <f t="shared" si="18"/>
        <v>0</v>
      </c>
    </row>
    <row r="148" spans="1:26">
      <c r="A148" s="57" t="s">
        <v>86</v>
      </c>
      <c r="B148" s="75" t="s">
        <v>259</v>
      </c>
      <c r="C148" s="59"/>
      <c r="D148" s="18" t="s">
        <v>68</v>
      </c>
      <c r="E148" s="54" t="s">
        <v>90</v>
      </c>
      <c r="F148" s="79"/>
      <c r="G148" s="61">
        <v>-2395385.64</v>
      </c>
      <c r="H148" s="56">
        <v>0</v>
      </c>
      <c r="I148" s="56"/>
      <c r="J148" s="58">
        <v>0</v>
      </c>
      <c r="K148" s="56">
        <v>0</v>
      </c>
      <c r="L148" s="56">
        <v>0</v>
      </c>
      <c r="M148" s="61">
        <f t="shared" si="13"/>
        <v>-2395385.64</v>
      </c>
      <c r="N148" s="56">
        <v>0</v>
      </c>
      <c r="O148" s="56">
        <v>0</v>
      </c>
      <c r="P148" s="58">
        <v>0</v>
      </c>
      <c r="Q148" s="58">
        <v>0</v>
      </c>
      <c r="R148" s="58">
        <v>0</v>
      </c>
      <c r="S148" s="61">
        <f t="shared" si="14"/>
        <v>-2395385.64</v>
      </c>
      <c r="T148" s="56"/>
      <c r="U148" s="63">
        <f t="shared" si="15"/>
        <v>0</v>
      </c>
      <c r="V148" s="56">
        <f t="shared" si="16"/>
        <v>931805.01395999989</v>
      </c>
      <c r="W148" s="64">
        <f t="shared" si="17"/>
        <v>-931805.01395999989</v>
      </c>
      <c r="X148" s="58"/>
      <c r="Z148" s="11">
        <f t="shared" si="18"/>
        <v>0</v>
      </c>
    </row>
    <row r="149" spans="1:26">
      <c r="A149" s="57" t="s">
        <v>133</v>
      </c>
      <c r="B149" s="75" t="s">
        <v>260</v>
      </c>
      <c r="D149" s="18" t="s">
        <v>93</v>
      </c>
      <c r="E149" s="88" t="s">
        <v>113</v>
      </c>
      <c r="F149" s="79"/>
      <c r="G149" s="61">
        <v>0</v>
      </c>
      <c r="H149" s="56">
        <v>0</v>
      </c>
      <c r="I149" s="56"/>
      <c r="J149" s="58">
        <v>0</v>
      </c>
      <c r="K149" s="56">
        <v>0</v>
      </c>
      <c r="L149" s="56">
        <v>0</v>
      </c>
      <c r="M149" s="61">
        <f t="shared" si="13"/>
        <v>0</v>
      </c>
      <c r="N149" s="56">
        <v>0</v>
      </c>
      <c r="O149" s="56">
        <v>0</v>
      </c>
      <c r="P149" s="58">
        <v>0</v>
      </c>
      <c r="Q149" s="58">
        <v>0</v>
      </c>
      <c r="R149" s="58">
        <v>0</v>
      </c>
      <c r="S149" s="61">
        <f t="shared" si="14"/>
        <v>0</v>
      </c>
      <c r="T149" s="56"/>
      <c r="U149" s="63">
        <f t="shared" si="15"/>
        <v>0</v>
      </c>
      <c r="V149" s="56">
        <f t="shared" si="16"/>
        <v>0</v>
      </c>
      <c r="W149" s="64">
        <f t="shared" si="17"/>
        <v>0</v>
      </c>
      <c r="X149" s="58"/>
      <c r="Z149" s="11">
        <f t="shared" si="18"/>
        <v>0</v>
      </c>
    </row>
    <row r="150" spans="1:26">
      <c r="A150" s="57" t="s">
        <v>122</v>
      </c>
      <c r="B150" s="75" t="s">
        <v>261</v>
      </c>
      <c r="D150" s="18" t="s">
        <v>93</v>
      </c>
      <c r="E150" s="88" t="s">
        <v>118</v>
      </c>
      <c r="F150" s="79"/>
      <c r="G150" s="61">
        <v>1220821</v>
      </c>
      <c r="H150" s="56">
        <v>0</v>
      </c>
      <c r="I150" s="56"/>
      <c r="J150" s="58">
        <v>0</v>
      </c>
      <c r="K150" s="56">
        <v>0</v>
      </c>
      <c r="L150" s="56">
        <v>0</v>
      </c>
      <c r="M150" s="61">
        <f t="shared" si="13"/>
        <v>1220821</v>
      </c>
      <c r="N150" s="56">
        <v>0</v>
      </c>
      <c r="O150" s="56">
        <v>0</v>
      </c>
      <c r="P150" s="58">
        <v>0</v>
      </c>
      <c r="Q150" s="58">
        <v>0</v>
      </c>
      <c r="R150" s="58">
        <v>0</v>
      </c>
      <c r="S150" s="61">
        <f t="shared" si="14"/>
        <v>1220821</v>
      </c>
      <c r="T150" s="56"/>
      <c r="U150" s="63">
        <f t="shared" si="15"/>
        <v>474899.36899999995</v>
      </c>
      <c r="V150" s="56">
        <f t="shared" si="16"/>
        <v>0</v>
      </c>
      <c r="W150" s="64">
        <f t="shared" si="17"/>
        <v>474899.36899999995</v>
      </c>
      <c r="X150" s="58"/>
      <c r="Z150" s="11">
        <f t="shared" si="18"/>
        <v>0</v>
      </c>
    </row>
    <row r="151" spans="1:26">
      <c r="A151" s="57" t="s">
        <v>86</v>
      </c>
      <c r="B151" s="75" t="s">
        <v>262</v>
      </c>
      <c r="D151" s="18"/>
      <c r="E151" s="88" t="s">
        <v>137</v>
      </c>
      <c r="F151" s="79"/>
      <c r="G151" s="61">
        <v>0</v>
      </c>
      <c r="H151" s="56">
        <v>0</v>
      </c>
      <c r="I151" s="56"/>
      <c r="J151" s="58">
        <v>0</v>
      </c>
      <c r="K151" s="56">
        <v>0</v>
      </c>
      <c r="L151" s="56">
        <v>0</v>
      </c>
      <c r="M151" s="61">
        <f t="shared" si="13"/>
        <v>0</v>
      </c>
      <c r="N151" s="56">
        <v>0</v>
      </c>
      <c r="O151" s="56">
        <v>0</v>
      </c>
      <c r="P151" s="58">
        <v>0</v>
      </c>
      <c r="Q151" s="58">
        <v>0</v>
      </c>
      <c r="R151" s="58">
        <v>0</v>
      </c>
      <c r="S151" s="61">
        <f t="shared" si="14"/>
        <v>0</v>
      </c>
      <c r="T151" s="56"/>
      <c r="U151" s="63">
        <f t="shared" si="15"/>
        <v>0</v>
      </c>
      <c r="V151" s="56">
        <f t="shared" si="16"/>
        <v>0</v>
      </c>
      <c r="W151" s="64">
        <f t="shared" si="17"/>
        <v>0</v>
      </c>
      <c r="X151" s="58"/>
      <c r="Z151" s="11">
        <f t="shared" si="18"/>
        <v>0</v>
      </c>
    </row>
    <row r="152" spans="1:26">
      <c r="A152" s="57" t="s">
        <v>86</v>
      </c>
      <c r="B152" s="75" t="s">
        <v>263</v>
      </c>
      <c r="D152" s="18"/>
      <c r="E152" s="88" t="s">
        <v>137</v>
      </c>
      <c r="F152" s="79"/>
      <c r="G152" s="61">
        <v>0</v>
      </c>
      <c r="H152" s="56">
        <v>0</v>
      </c>
      <c r="I152" s="56"/>
      <c r="J152" s="58">
        <v>0</v>
      </c>
      <c r="K152" s="56">
        <v>0</v>
      </c>
      <c r="L152" s="56">
        <v>0</v>
      </c>
      <c r="M152" s="61">
        <f t="shared" si="13"/>
        <v>0</v>
      </c>
      <c r="N152" s="56">
        <v>0</v>
      </c>
      <c r="O152" s="56">
        <v>0</v>
      </c>
      <c r="P152" s="58">
        <v>0</v>
      </c>
      <c r="Q152" s="58">
        <v>0</v>
      </c>
      <c r="R152" s="58">
        <v>0</v>
      </c>
      <c r="S152" s="61">
        <f t="shared" si="14"/>
        <v>0</v>
      </c>
      <c r="T152" s="56"/>
      <c r="U152" s="63">
        <f t="shared" si="15"/>
        <v>0</v>
      </c>
      <c r="V152" s="56">
        <f t="shared" si="16"/>
        <v>0</v>
      </c>
      <c r="W152" s="64">
        <f t="shared" si="17"/>
        <v>0</v>
      </c>
      <c r="X152" s="58"/>
      <c r="Z152" s="11">
        <f t="shared" si="18"/>
        <v>0</v>
      </c>
    </row>
    <row r="153" spans="1:26">
      <c r="A153" s="57" t="s">
        <v>86</v>
      </c>
      <c r="B153" s="75" t="s">
        <v>264</v>
      </c>
      <c r="D153" s="18"/>
      <c r="E153" s="88" t="s">
        <v>137</v>
      </c>
      <c r="F153" s="79"/>
      <c r="G153" s="61">
        <v>0</v>
      </c>
      <c r="H153" s="56">
        <v>0</v>
      </c>
      <c r="I153" s="56"/>
      <c r="J153" s="58">
        <v>0</v>
      </c>
      <c r="K153" s="56">
        <v>0</v>
      </c>
      <c r="L153" s="56">
        <v>0</v>
      </c>
      <c r="M153" s="61">
        <f t="shared" si="13"/>
        <v>0</v>
      </c>
      <c r="N153" s="56">
        <v>0</v>
      </c>
      <c r="O153" s="56">
        <v>0</v>
      </c>
      <c r="P153" s="58">
        <v>0</v>
      </c>
      <c r="Q153" s="58">
        <v>0</v>
      </c>
      <c r="R153" s="58">
        <v>0</v>
      </c>
      <c r="S153" s="61">
        <f t="shared" si="14"/>
        <v>0</v>
      </c>
      <c r="T153" s="56"/>
      <c r="U153" s="63">
        <f t="shared" si="15"/>
        <v>0</v>
      </c>
      <c r="V153" s="56">
        <f t="shared" si="16"/>
        <v>0</v>
      </c>
      <c r="W153" s="64">
        <f t="shared" si="17"/>
        <v>0</v>
      </c>
      <c r="X153" s="58"/>
      <c r="Z153" s="11">
        <f t="shared" si="18"/>
        <v>0</v>
      </c>
    </row>
    <row r="154" spans="1:26">
      <c r="A154" s="57" t="s">
        <v>86</v>
      </c>
      <c r="B154" s="75" t="s">
        <v>89</v>
      </c>
      <c r="D154" s="18"/>
      <c r="E154" s="88" t="s">
        <v>95</v>
      </c>
      <c r="F154" s="79"/>
      <c r="G154" s="61">
        <v>0</v>
      </c>
      <c r="H154" s="56">
        <v>0</v>
      </c>
      <c r="I154" s="56"/>
      <c r="J154" s="58">
        <v>0</v>
      </c>
      <c r="K154" s="56">
        <v>0</v>
      </c>
      <c r="L154" s="56">
        <v>0</v>
      </c>
      <c r="M154" s="61">
        <f t="shared" si="13"/>
        <v>0</v>
      </c>
      <c r="N154" s="56">
        <v>0</v>
      </c>
      <c r="O154" s="56">
        <v>0</v>
      </c>
      <c r="P154" s="58">
        <v>0</v>
      </c>
      <c r="Q154" s="58">
        <v>0</v>
      </c>
      <c r="R154" s="58">
        <v>0</v>
      </c>
      <c r="S154" s="61">
        <f t="shared" si="14"/>
        <v>0</v>
      </c>
      <c r="T154" s="56"/>
      <c r="U154" s="63">
        <f t="shared" si="15"/>
        <v>0</v>
      </c>
      <c r="V154" s="56">
        <f t="shared" si="16"/>
        <v>0</v>
      </c>
      <c r="W154" s="64">
        <f t="shared" si="17"/>
        <v>0</v>
      </c>
      <c r="X154" s="58"/>
      <c r="Z154" s="11">
        <f t="shared" si="18"/>
        <v>0</v>
      </c>
    </row>
    <row r="155" spans="1:26">
      <c r="A155" s="57" t="s">
        <v>86</v>
      </c>
      <c r="B155" s="59" t="s">
        <v>265</v>
      </c>
      <c r="C155" s="59"/>
      <c r="D155" s="18" t="s">
        <v>68</v>
      </c>
      <c r="E155" s="88" t="s">
        <v>95</v>
      </c>
      <c r="F155" s="79"/>
      <c r="G155" s="61">
        <v>0</v>
      </c>
      <c r="H155" s="56">
        <v>0</v>
      </c>
      <c r="I155" s="56"/>
      <c r="J155" s="58">
        <v>0</v>
      </c>
      <c r="K155" s="56">
        <v>0</v>
      </c>
      <c r="L155" s="56">
        <v>0</v>
      </c>
      <c r="M155" s="61">
        <f t="shared" si="13"/>
        <v>0</v>
      </c>
      <c r="N155" s="56">
        <v>0</v>
      </c>
      <c r="O155" s="56">
        <v>0</v>
      </c>
      <c r="P155" s="58">
        <v>0</v>
      </c>
      <c r="Q155" s="58">
        <v>0</v>
      </c>
      <c r="R155" s="58">
        <v>0</v>
      </c>
      <c r="S155" s="61">
        <f t="shared" si="14"/>
        <v>0</v>
      </c>
      <c r="T155" s="56"/>
      <c r="U155" s="63">
        <f t="shared" si="15"/>
        <v>0</v>
      </c>
      <c r="V155" s="56">
        <f t="shared" si="16"/>
        <v>0</v>
      </c>
      <c r="W155" s="64">
        <f t="shared" si="17"/>
        <v>0</v>
      </c>
      <c r="X155" s="58"/>
      <c r="Z155" s="11">
        <f t="shared" si="18"/>
        <v>0</v>
      </c>
    </row>
    <row r="156" spans="1:26">
      <c r="A156" s="57"/>
      <c r="B156" s="59" t="s">
        <v>266</v>
      </c>
      <c r="D156" s="18"/>
      <c r="E156" s="54" t="s">
        <v>95</v>
      </c>
      <c r="F156" s="79"/>
      <c r="G156" s="61">
        <v>0</v>
      </c>
      <c r="H156" s="56">
        <v>0</v>
      </c>
      <c r="I156" s="56"/>
      <c r="J156" s="58">
        <v>0</v>
      </c>
      <c r="K156" s="56">
        <v>0</v>
      </c>
      <c r="L156" s="56">
        <v>0</v>
      </c>
      <c r="M156" s="61">
        <f t="shared" si="13"/>
        <v>0</v>
      </c>
      <c r="N156" s="56">
        <v>0</v>
      </c>
      <c r="O156" s="56">
        <v>0</v>
      </c>
      <c r="P156" s="58">
        <v>0</v>
      </c>
      <c r="Q156" s="58">
        <v>0</v>
      </c>
      <c r="R156" s="58">
        <v>0</v>
      </c>
      <c r="S156" s="61">
        <f t="shared" ref="S156:S174" si="19">SUM(M156:R156)</f>
        <v>0</v>
      </c>
      <c r="T156" s="56"/>
      <c r="U156" s="63">
        <f t="shared" si="15"/>
        <v>0</v>
      </c>
      <c r="V156" s="56">
        <f t="shared" si="16"/>
        <v>0</v>
      </c>
      <c r="W156" s="64">
        <f t="shared" si="17"/>
        <v>0</v>
      </c>
      <c r="X156" s="58"/>
      <c r="Z156" s="11"/>
    </row>
    <row r="157" spans="1:26">
      <c r="A157" s="57"/>
      <c r="B157" s="59" t="s">
        <v>267</v>
      </c>
      <c r="D157" s="18"/>
      <c r="E157" s="54" t="s">
        <v>268</v>
      </c>
      <c r="F157" s="79"/>
      <c r="G157" s="61">
        <v>0</v>
      </c>
      <c r="H157" s="56">
        <v>0</v>
      </c>
      <c r="I157" s="56"/>
      <c r="J157" s="58">
        <v>0</v>
      </c>
      <c r="K157" s="56">
        <v>0</v>
      </c>
      <c r="L157" s="56">
        <v>0</v>
      </c>
      <c r="M157" s="61">
        <f t="shared" si="13"/>
        <v>0</v>
      </c>
      <c r="N157" s="56">
        <v>0</v>
      </c>
      <c r="O157" s="56">
        <v>0</v>
      </c>
      <c r="P157" s="58">
        <v>0</v>
      </c>
      <c r="Q157" s="58">
        <v>0</v>
      </c>
      <c r="R157" s="58">
        <v>0</v>
      </c>
      <c r="S157" s="61">
        <f t="shared" si="19"/>
        <v>0</v>
      </c>
      <c r="T157" s="56"/>
      <c r="U157" s="63">
        <f t="shared" si="15"/>
        <v>0</v>
      </c>
      <c r="V157" s="56">
        <f t="shared" si="16"/>
        <v>0</v>
      </c>
      <c r="W157" s="64">
        <f t="shared" si="17"/>
        <v>0</v>
      </c>
      <c r="X157" s="58"/>
      <c r="Z157" s="11"/>
    </row>
    <row r="158" spans="1:26">
      <c r="A158" s="57"/>
      <c r="B158" s="59" t="s">
        <v>269</v>
      </c>
      <c r="D158" s="18"/>
      <c r="E158" s="54" t="s">
        <v>90</v>
      </c>
      <c r="F158" s="79"/>
      <c r="G158" s="61">
        <v>0</v>
      </c>
      <c r="H158" s="56">
        <v>0</v>
      </c>
      <c r="I158" s="56"/>
      <c r="J158" s="58">
        <v>0</v>
      </c>
      <c r="K158" s="56">
        <v>0</v>
      </c>
      <c r="L158" s="56">
        <v>0</v>
      </c>
      <c r="M158" s="61">
        <f t="shared" si="13"/>
        <v>0</v>
      </c>
      <c r="N158" s="56">
        <v>0</v>
      </c>
      <c r="O158" s="56">
        <v>0</v>
      </c>
      <c r="P158" s="58">
        <v>0</v>
      </c>
      <c r="Q158" s="58">
        <v>0</v>
      </c>
      <c r="R158" s="58">
        <v>0</v>
      </c>
      <c r="S158" s="61">
        <f t="shared" si="19"/>
        <v>0</v>
      </c>
      <c r="T158" s="56"/>
      <c r="U158" s="63">
        <f t="shared" si="15"/>
        <v>0</v>
      </c>
      <c r="V158" s="56">
        <f t="shared" si="16"/>
        <v>0</v>
      </c>
      <c r="W158" s="64">
        <f t="shared" si="17"/>
        <v>0</v>
      </c>
      <c r="X158" s="58"/>
      <c r="Z158" s="11"/>
    </row>
    <row r="159" spans="1:26">
      <c r="A159" s="57"/>
      <c r="B159" s="59" t="s">
        <v>270</v>
      </c>
      <c r="D159" s="18"/>
      <c r="E159" s="54" t="s">
        <v>72</v>
      </c>
      <c r="F159" s="79"/>
      <c r="G159" s="61">
        <v>0</v>
      </c>
      <c r="H159" s="56">
        <v>0</v>
      </c>
      <c r="I159" s="56"/>
      <c r="J159" s="58">
        <v>0</v>
      </c>
      <c r="K159" s="56">
        <v>0</v>
      </c>
      <c r="L159" s="56">
        <v>0</v>
      </c>
      <c r="M159" s="61">
        <f t="shared" si="13"/>
        <v>0</v>
      </c>
      <c r="N159" s="56">
        <v>0</v>
      </c>
      <c r="O159" s="56">
        <v>0</v>
      </c>
      <c r="P159" s="58">
        <v>0</v>
      </c>
      <c r="Q159" s="58">
        <v>0</v>
      </c>
      <c r="R159" s="58">
        <v>0</v>
      </c>
      <c r="S159" s="61">
        <f t="shared" si="19"/>
        <v>0</v>
      </c>
      <c r="T159" s="56"/>
      <c r="U159" s="63">
        <f t="shared" si="15"/>
        <v>0</v>
      </c>
      <c r="V159" s="56">
        <f t="shared" si="16"/>
        <v>0</v>
      </c>
      <c r="W159" s="64">
        <f t="shared" si="17"/>
        <v>0</v>
      </c>
      <c r="X159" s="58"/>
      <c r="Z159" s="11"/>
    </row>
    <row r="160" spans="1:26">
      <c r="A160" s="57"/>
      <c r="B160" s="59" t="s">
        <v>271</v>
      </c>
      <c r="D160" s="18"/>
      <c r="E160" s="54" t="s">
        <v>72</v>
      </c>
      <c r="F160" s="79"/>
      <c r="G160" s="61">
        <v>0</v>
      </c>
      <c r="H160" s="56">
        <v>0</v>
      </c>
      <c r="I160" s="56"/>
      <c r="J160" s="58">
        <v>0</v>
      </c>
      <c r="K160" s="56">
        <v>0</v>
      </c>
      <c r="L160" s="56">
        <v>0</v>
      </c>
      <c r="M160" s="61">
        <f t="shared" si="13"/>
        <v>0</v>
      </c>
      <c r="N160" s="56">
        <v>0</v>
      </c>
      <c r="O160" s="56">
        <v>0</v>
      </c>
      <c r="P160" s="58">
        <v>0</v>
      </c>
      <c r="Q160" s="58">
        <v>0</v>
      </c>
      <c r="R160" s="58">
        <v>0</v>
      </c>
      <c r="S160" s="61">
        <f t="shared" si="19"/>
        <v>0</v>
      </c>
      <c r="T160" s="56"/>
      <c r="U160" s="63">
        <f t="shared" si="15"/>
        <v>0</v>
      </c>
      <c r="V160" s="56">
        <f t="shared" si="16"/>
        <v>0</v>
      </c>
      <c r="W160" s="64">
        <f t="shared" si="17"/>
        <v>0</v>
      </c>
      <c r="X160" s="58"/>
      <c r="Z160" s="11"/>
    </row>
    <row r="161" spans="1:26">
      <c r="A161" s="57"/>
      <c r="B161" s="59" t="s">
        <v>272</v>
      </c>
      <c r="D161" s="18" t="s">
        <v>93</v>
      </c>
      <c r="E161" s="54" t="s">
        <v>113</v>
      </c>
      <c r="F161" s="79"/>
      <c r="G161" s="61">
        <v>4572661</v>
      </c>
      <c r="H161" s="56">
        <v>0</v>
      </c>
      <c r="I161" s="56"/>
      <c r="J161" s="58">
        <f>897235</f>
        <v>897235</v>
      </c>
      <c r="K161" s="56">
        <v>-704304</v>
      </c>
      <c r="L161" s="56">
        <v>0</v>
      </c>
      <c r="M161" s="61">
        <f t="shared" si="13"/>
        <v>4765592</v>
      </c>
      <c r="N161" s="56">
        <v>0</v>
      </c>
      <c r="O161" s="56">
        <v>0</v>
      </c>
      <c r="P161" s="58">
        <v>0</v>
      </c>
      <c r="Q161" s="58">
        <v>0</v>
      </c>
      <c r="R161" s="58">
        <v>-204788</v>
      </c>
      <c r="S161" s="61">
        <f t="shared" si="19"/>
        <v>4560804</v>
      </c>
      <c r="T161" s="56"/>
      <c r="U161" s="63">
        <f t="shared" si="15"/>
        <v>1774152.7559999998</v>
      </c>
      <c r="V161" s="56">
        <f t="shared" si="16"/>
        <v>0</v>
      </c>
      <c r="W161" s="64">
        <f t="shared" si="17"/>
        <v>1774152.7559999998</v>
      </c>
      <c r="X161" s="58"/>
      <c r="Z161" s="11"/>
    </row>
    <row r="162" spans="1:26">
      <c r="A162" s="57"/>
      <c r="B162" s="59" t="s">
        <v>273</v>
      </c>
      <c r="D162" s="18"/>
      <c r="E162" s="54" t="s">
        <v>95</v>
      </c>
      <c r="F162" s="79"/>
      <c r="G162" s="61">
        <v>0</v>
      </c>
      <c r="H162" s="56">
        <v>0</v>
      </c>
      <c r="I162" s="56"/>
      <c r="J162" s="58">
        <v>0</v>
      </c>
      <c r="K162" s="56">
        <v>0</v>
      </c>
      <c r="L162" s="56">
        <v>0</v>
      </c>
      <c r="M162" s="61">
        <f t="shared" si="13"/>
        <v>0</v>
      </c>
      <c r="N162" s="56">
        <v>0</v>
      </c>
      <c r="O162" s="56">
        <v>0</v>
      </c>
      <c r="P162" s="58">
        <v>0</v>
      </c>
      <c r="Q162" s="58">
        <v>0</v>
      </c>
      <c r="R162" s="58">
        <v>0</v>
      </c>
      <c r="S162" s="61">
        <f t="shared" si="19"/>
        <v>0</v>
      </c>
      <c r="T162" s="56"/>
      <c r="U162" s="63">
        <f t="shared" si="15"/>
        <v>0</v>
      </c>
      <c r="V162" s="56">
        <f t="shared" si="16"/>
        <v>0</v>
      </c>
      <c r="W162" s="64">
        <f t="shared" si="17"/>
        <v>0</v>
      </c>
      <c r="X162" s="58"/>
      <c r="Z162" s="11"/>
    </row>
    <row r="163" spans="1:26">
      <c r="A163" s="57"/>
      <c r="B163" s="59" t="s">
        <v>274</v>
      </c>
      <c r="D163" s="18"/>
      <c r="E163" s="54" t="s">
        <v>275</v>
      </c>
      <c r="F163" s="79"/>
      <c r="G163" s="61">
        <v>0</v>
      </c>
      <c r="H163" s="56">
        <v>0</v>
      </c>
      <c r="I163" s="56"/>
      <c r="J163" s="58">
        <v>0</v>
      </c>
      <c r="K163" s="56">
        <v>0</v>
      </c>
      <c r="L163" s="56">
        <v>0</v>
      </c>
      <c r="M163" s="61">
        <f t="shared" ref="M163:M174" si="20">SUM(G163:L163)</f>
        <v>0</v>
      </c>
      <c r="N163" s="56">
        <v>0</v>
      </c>
      <c r="O163" s="56">
        <v>0</v>
      </c>
      <c r="P163" s="58">
        <v>0</v>
      </c>
      <c r="Q163" s="58">
        <v>0</v>
      </c>
      <c r="R163" s="58">
        <v>0</v>
      </c>
      <c r="S163" s="61">
        <f t="shared" si="19"/>
        <v>0</v>
      </c>
      <c r="T163" s="56"/>
      <c r="U163" s="63">
        <f t="shared" ref="U163:U174" si="21">IF(S163&gt;0,S163*$G$308,0)</f>
        <v>0</v>
      </c>
      <c r="V163" s="56">
        <f t="shared" ref="V163:V174" si="22">IF(S163&lt;0,-S163*$G$308,0)</f>
        <v>0</v>
      </c>
      <c r="W163" s="64">
        <f t="shared" ref="W163:W174" si="23">U163-V163</f>
        <v>0</v>
      </c>
      <c r="X163" s="58"/>
      <c r="Z163" s="11"/>
    </row>
    <row r="164" spans="1:26">
      <c r="A164" s="57" t="s">
        <v>276</v>
      </c>
      <c r="B164" s="59" t="s">
        <v>277</v>
      </c>
      <c r="D164" s="18" t="s">
        <v>93</v>
      </c>
      <c r="E164" s="54" t="s">
        <v>113</v>
      </c>
      <c r="F164" s="79"/>
      <c r="G164" s="61">
        <v>-21453390.270461403</v>
      </c>
      <c r="H164" s="56">
        <v>-4930806</v>
      </c>
      <c r="I164" s="56"/>
      <c r="J164" s="58"/>
      <c r="K164" s="56">
        <v>0</v>
      </c>
      <c r="L164" s="56">
        <v>0</v>
      </c>
      <c r="M164" s="61">
        <f t="shared" si="20"/>
        <v>-26384196.270461403</v>
      </c>
      <c r="N164" s="56">
        <v>-8235094.1931352522</v>
      </c>
      <c r="O164" s="56">
        <v>0</v>
      </c>
      <c r="P164" s="58">
        <v>0</v>
      </c>
      <c r="Q164" s="58">
        <v>0</v>
      </c>
      <c r="R164" s="58"/>
      <c r="S164" s="61">
        <f t="shared" si="19"/>
        <v>-34619290.463596657</v>
      </c>
      <c r="T164" s="56"/>
      <c r="U164" s="63">
        <f t="shared" si="21"/>
        <v>0</v>
      </c>
      <c r="V164" s="56">
        <f t="shared" si="22"/>
        <v>13466903.990339098</v>
      </c>
      <c r="W164" s="64">
        <f t="shared" si="23"/>
        <v>-13466903.990339098</v>
      </c>
      <c r="X164" s="58"/>
      <c r="Z164" s="11"/>
    </row>
    <row r="165" spans="1:26">
      <c r="A165" s="57" t="s">
        <v>278</v>
      </c>
      <c r="B165" s="59" t="s">
        <v>279</v>
      </c>
      <c r="D165" s="18"/>
      <c r="E165" s="54" t="s">
        <v>72</v>
      </c>
      <c r="F165" s="79"/>
      <c r="G165" s="61">
        <v>0</v>
      </c>
      <c r="H165" s="56">
        <v>0</v>
      </c>
      <c r="I165" s="56"/>
      <c r="J165" s="58">
        <v>0</v>
      </c>
      <c r="K165" s="56">
        <v>0</v>
      </c>
      <c r="L165" s="56">
        <v>0</v>
      </c>
      <c r="M165" s="61">
        <f t="shared" si="20"/>
        <v>0</v>
      </c>
      <c r="N165" s="56">
        <v>0</v>
      </c>
      <c r="O165" s="56">
        <v>0</v>
      </c>
      <c r="P165" s="58">
        <v>0</v>
      </c>
      <c r="Q165" s="58">
        <v>0</v>
      </c>
      <c r="R165" s="58">
        <v>0</v>
      </c>
      <c r="S165" s="61">
        <f t="shared" si="19"/>
        <v>0</v>
      </c>
      <c r="T165" s="56"/>
      <c r="U165" s="63">
        <f t="shared" si="21"/>
        <v>0</v>
      </c>
      <c r="V165" s="56">
        <f t="shared" si="22"/>
        <v>0</v>
      </c>
      <c r="W165" s="64">
        <f t="shared" si="23"/>
        <v>0</v>
      </c>
      <c r="X165" s="58"/>
      <c r="Z165" s="11"/>
    </row>
    <row r="166" spans="1:26">
      <c r="A166" s="57" t="s">
        <v>280</v>
      </c>
      <c r="B166" s="260" t="s">
        <v>281</v>
      </c>
      <c r="D166" s="18"/>
      <c r="E166" s="54" t="s">
        <v>282</v>
      </c>
      <c r="F166" s="79"/>
      <c r="G166" s="61">
        <v>36395</v>
      </c>
      <c r="H166" s="56">
        <v>0</v>
      </c>
      <c r="I166" s="56"/>
      <c r="J166" s="58">
        <v>0</v>
      </c>
      <c r="K166" s="56">
        <v>0</v>
      </c>
      <c r="L166" s="56">
        <v>0</v>
      </c>
      <c r="M166" s="61">
        <f t="shared" si="20"/>
        <v>36395</v>
      </c>
      <c r="N166" s="56">
        <v>21808</v>
      </c>
      <c r="O166" s="56">
        <v>0</v>
      </c>
      <c r="P166" s="58">
        <v>0</v>
      </c>
      <c r="Q166" s="58">
        <v>0</v>
      </c>
      <c r="R166" s="58">
        <v>0</v>
      </c>
      <c r="S166" s="61">
        <f t="shared" si="19"/>
        <v>58203</v>
      </c>
      <c r="T166" s="56"/>
      <c r="U166" s="63">
        <f t="shared" si="21"/>
        <v>22640.966999999997</v>
      </c>
      <c r="V166" s="56">
        <f t="shared" si="22"/>
        <v>0</v>
      </c>
      <c r="W166" s="64">
        <f t="shared" si="23"/>
        <v>22640.966999999997</v>
      </c>
      <c r="X166" s="58"/>
      <c r="Z166" s="11"/>
    </row>
    <row r="167" spans="1:26">
      <c r="A167" s="57" t="s">
        <v>283</v>
      </c>
      <c r="B167" s="260" t="s">
        <v>284</v>
      </c>
      <c r="D167" s="18"/>
      <c r="E167" s="54" t="s">
        <v>282</v>
      </c>
      <c r="F167" s="79"/>
      <c r="G167" s="61">
        <v>0</v>
      </c>
      <c r="H167" s="56">
        <v>0</v>
      </c>
      <c r="I167" s="56"/>
      <c r="J167" s="58">
        <v>0</v>
      </c>
      <c r="K167" s="56">
        <v>0</v>
      </c>
      <c r="L167" s="56">
        <v>0</v>
      </c>
      <c r="M167" s="61">
        <f t="shared" si="20"/>
        <v>0</v>
      </c>
      <c r="N167" s="56">
        <v>0</v>
      </c>
      <c r="O167" s="56">
        <v>0</v>
      </c>
      <c r="P167" s="58">
        <v>0</v>
      </c>
      <c r="Q167" s="58">
        <v>0</v>
      </c>
      <c r="R167" s="58">
        <v>0</v>
      </c>
      <c r="S167" s="61">
        <f t="shared" si="19"/>
        <v>0</v>
      </c>
      <c r="T167" s="56"/>
      <c r="U167" s="63">
        <f t="shared" si="21"/>
        <v>0</v>
      </c>
      <c r="V167" s="56">
        <f t="shared" si="22"/>
        <v>0</v>
      </c>
      <c r="W167" s="64">
        <f t="shared" si="23"/>
        <v>0</v>
      </c>
      <c r="X167" s="58"/>
      <c r="Z167" s="11"/>
    </row>
    <row r="168" spans="1:26">
      <c r="A168" s="57" t="s">
        <v>285</v>
      </c>
      <c r="B168" s="261" t="s">
        <v>286</v>
      </c>
      <c r="D168" s="18"/>
      <c r="E168" s="54" t="s">
        <v>282</v>
      </c>
      <c r="F168" s="79"/>
      <c r="G168" s="61">
        <v>30260</v>
      </c>
      <c r="H168" s="56">
        <v>0</v>
      </c>
      <c r="I168" s="56"/>
      <c r="J168" s="58">
        <v>0</v>
      </c>
      <c r="K168" s="56">
        <v>0</v>
      </c>
      <c r="L168" s="56">
        <v>0</v>
      </c>
      <c r="M168" s="61">
        <f t="shared" si="20"/>
        <v>30260</v>
      </c>
      <c r="N168" s="56">
        <v>44485</v>
      </c>
      <c r="O168" s="56">
        <v>0</v>
      </c>
      <c r="P168" s="58">
        <v>0</v>
      </c>
      <c r="Q168" s="58">
        <v>0</v>
      </c>
      <c r="R168" s="58">
        <v>0</v>
      </c>
      <c r="S168" s="61">
        <f t="shared" si="19"/>
        <v>74745</v>
      </c>
      <c r="T168" s="56"/>
      <c r="U168" s="63">
        <f t="shared" si="21"/>
        <v>29075.804999999997</v>
      </c>
      <c r="V168" s="56">
        <f t="shared" si="22"/>
        <v>0</v>
      </c>
      <c r="W168" s="64">
        <f t="shared" si="23"/>
        <v>29075.804999999997</v>
      </c>
      <c r="X168" s="58"/>
      <c r="Z168" s="11"/>
    </row>
    <row r="169" spans="1:26">
      <c r="A169" s="57" t="s">
        <v>287</v>
      </c>
      <c r="B169" s="261" t="s">
        <v>288</v>
      </c>
      <c r="D169" s="18"/>
      <c r="E169" s="54" t="s">
        <v>282</v>
      </c>
      <c r="F169" s="79"/>
      <c r="G169" s="61">
        <v>4251</v>
      </c>
      <c r="H169" s="56">
        <v>-3816</v>
      </c>
      <c r="I169" s="56"/>
      <c r="J169" s="58">
        <v>0</v>
      </c>
      <c r="K169" s="56">
        <v>0</v>
      </c>
      <c r="L169" s="56">
        <v>0</v>
      </c>
      <c r="M169" s="61">
        <f t="shared" si="20"/>
        <v>435</v>
      </c>
      <c r="N169" s="56">
        <v>457.86000000000058</v>
      </c>
      <c r="O169" s="56">
        <v>0</v>
      </c>
      <c r="P169" s="58">
        <v>0</v>
      </c>
      <c r="Q169" s="58">
        <v>0</v>
      </c>
      <c r="R169" s="58">
        <v>0</v>
      </c>
      <c r="S169" s="61">
        <f t="shared" si="19"/>
        <v>892.86000000000058</v>
      </c>
      <c r="T169" s="56"/>
      <c r="U169" s="63">
        <f t="shared" si="21"/>
        <v>347.32254000000017</v>
      </c>
      <c r="V169" s="56">
        <f t="shared" si="22"/>
        <v>0</v>
      </c>
      <c r="W169" s="64">
        <f t="shared" si="23"/>
        <v>347.32254000000017</v>
      </c>
      <c r="X169" s="58"/>
      <c r="Z169" s="11"/>
    </row>
    <row r="170" spans="1:26">
      <c r="A170" s="57" t="s">
        <v>289</v>
      </c>
      <c r="B170" s="59" t="s">
        <v>290</v>
      </c>
      <c r="D170" s="18"/>
      <c r="E170" s="54" t="s">
        <v>291</v>
      </c>
      <c r="F170" s="79"/>
      <c r="G170" s="61">
        <v>0</v>
      </c>
      <c r="H170" s="56">
        <v>0</v>
      </c>
      <c r="I170" s="56"/>
      <c r="J170" s="58">
        <v>0</v>
      </c>
      <c r="K170" s="56">
        <v>0</v>
      </c>
      <c r="L170" s="56">
        <v>0</v>
      </c>
      <c r="M170" s="61">
        <f t="shared" si="20"/>
        <v>0</v>
      </c>
      <c r="N170" s="56">
        <v>0</v>
      </c>
      <c r="O170" s="56">
        <v>0</v>
      </c>
      <c r="P170" s="58">
        <v>0</v>
      </c>
      <c r="Q170" s="58">
        <v>0</v>
      </c>
      <c r="R170" s="58">
        <v>0</v>
      </c>
      <c r="S170" s="61">
        <f t="shared" si="19"/>
        <v>0</v>
      </c>
      <c r="T170" s="56"/>
      <c r="U170" s="63">
        <f t="shared" si="21"/>
        <v>0</v>
      </c>
      <c r="V170" s="56">
        <f t="shared" si="22"/>
        <v>0</v>
      </c>
      <c r="W170" s="64">
        <f t="shared" si="23"/>
        <v>0</v>
      </c>
      <c r="X170" s="58"/>
      <c r="Z170" s="11"/>
    </row>
    <row r="171" spans="1:26">
      <c r="A171" s="57"/>
      <c r="B171" s="59" t="s">
        <v>98</v>
      </c>
      <c r="D171" s="18"/>
      <c r="F171" s="84"/>
      <c r="G171" s="61">
        <v>0</v>
      </c>
      <c r="H171" s="56">
        <v>0</v>
      </c>
      <c r="I171" s="56"/>
      <c r="J171" s="58">
        <v>0</v>
      </c>
      <c r="K171" s="56">
        <v>0</v>
      </c>
      <c r="L171" s="56">
        <v>0</v>
      </c>
      <c r="M171" s="61">
        <f t="shared" si="20"/>
        <v>0</v>
      </c>
      <c r="N171" s="56">
        <v>0</v>
      </c>
      <c r="O171" s="56">
        <v>0</v>
      </c>
      <c r="P171" s="58">
        <v>0</v>
      </c>
      <c r="Q171" s="58">
        <v>0</v>
      </c>
      <c r="R171" s="58">
        <f>-49000/H306*0</f>
        <v>0</v>
      </c>
      <c r="S171" s="61">
        <f t="shared" si="19"/>
        <v>0</v>
      </c>
      <c r="T171" s="56"/>
      <c r="U171" s="63">
        <f t="shared" si="21"/>
        <v>0</v>
      </c>
      <c r="V171" s="56">
        <f t="shared" si="22"/>
        <v>0</v>
      </c>
      <c r="W171" s="64">
        <f t="shared" si="23"/>
        <v>0</v>
      </c>
      <c r="X171" s="58"/>
      <c r="Z171" s="11"/>
    </row>
    <row r="172" spans="1:26">
      <c r="A172" s="57"/>
      <c r="B172" s="59" t="s">
        <v>98</v>
      </c>
      <c r="D172" s="18"/>
      <c r="F172" s="84"/>
      <c r="G172" s="61">
        <v>0</v>
      </c>
      <c r="H172" s="56">
        <v>0</v>
      </c>
      <c r="I172" s="56"/>
      <c r="J172" s="58">
        <v>0</v>
      </c>
      <c r="K172" s="56">
        <v>0</v>
      </c>
      <c r="L172" s="56">
        <v>0</v>
      </c>
      <c r="M172" s="61">
        <f t="shared" si="20"/>
        <v>0</v>
      </c>
      <c r="N172" s="56">
        <v>0</v>
      </c>
      <c r="O172" s="56">
        <v>0</v>
      </c>
      <c r="P172" s="58">
        <v>0</v>
      </c>
      <c r="Q172" s="58">
        <v>0</v>
      </c>
      <c r="R172" s="58">
        <v>0</v>
      </c>
      <c r="S172" s="61">
        <f t="shared" si="19"/>
        <v>0</v>
      </c>
      <c r="T172" s="56"/>
      <c r="U172" s="63">
        <f t="shared" si="21"/>
        <v>0</v>
      </c>
      <c r="V172" s="56">
        <f t="shared" si="22"/>
        <v>0</v>
      </c>
      <c r="W172" s="64">
        <f t="shared" si="23"/>
        <v>0</v>
      </c>
      <c r="X172" s="58"/>
      <c r="Z172" s="11"/>
    </row>
    <row r="173" spans="1:26">
      <c r="A173" s="57"/>
      <c r="B173" s="59" t="s">
        <v>98</v>
      </c>
      <c r="D173" s="18"/>
      <c r="F173" s="84"/>
      <c r="G173" s="61">
        <v>0</v>
      </c>
      <c r="H173" s="56">
        <v>0</v>
      </c>
      <c r="I173" s="56"/>
      <c r="J173" s="58">
        <v>0</v>
      </c>
      <c r="K173" s="56">
        <v>0</v>
      </c>
      <c r="L173" s="56">
        <v>0</v>
      </c>
      <c r="M173" s="61">
        <f t="shared" si="20"/>
        <v>0</v>
      </c>
      <c r="N173" s="56">
        <v>0</v>
      </c>
      <c r="O173" s="56">
        <v>0</v>
      </c>
      <c r="P173" s="58">
        <v>0</v>
      </c>
      <c r="Q173" s="58">
        <v>0</v>
      </c>
      <c r="R173" s="58">
        <v>0</v>
      </c>
      <c r="S173" s="61">
        <f t="shared" si="19"/>
        <v>0</v>
      </c>
      <c r="T173" s="56"/>
      <c r="U173" s="63">
        <f t="shared" si="21"/>
        <v>0</v>
      </c>
      <c r="V173" s="56">
        <f t="shared" si="22"/>
        <v>0</v>
      </c>
      <c r="W173" s="64">
        <f t="shared" si="23"/>
        <v>0</v>
      </c>
      <c r="X173" s="58"/>
      <c r="Z173" s="11"/>
    </row>
    <row r="174" spans="1:26">
      <c r="A174" s="57"/>
      <c r="B174" s="59" t="s">
        <v>98</v>
      </c>
      <c r="D174" s="18"/>
      <c r="F174" s="84"/>
      <c r="G174" s="61">
        <v>0</v>
      </c>
      <c r="H174" s="56">
        <v>0</v>
      </c>
      <c r="I174" s="56"/>
      <c r="J174" s="58">
        <v>0</v>
      </c>
      <c r="K174" s="56">
        <v>0</v>
      </c>
      <c r="L174" s="56">
        <v>0</v>
      </c>
      <c r="M174" s="61">
        <f t="shared" si="20"/>
        <v>0</v>
      </c>
      <c r="N174" s="56">
        <v>0</v>
      </c>
      <c r="O174" s="56">
        <v>0</v>
      </c>
      <c r="P174" s="58">
        <v>0</v>
      </c>
      <c r="Q174" s="58">
        <v>0</v>
      </c>
      <c r="R174" s="58">
        <v>0</v>
      </c>
      <c r="S174" s="61">
        <f t="shared" si="19"/>
        <v>0</v>
      </c>
      <c r="T174" s="56"/>
      <c r="U174" s="63">
        <f t="shared" si="21"/>
        <v>0</v>
      </c>
      <c r="V174" s="56">
        <f t="shared" si="22"/>
        <v>0</v>
      </c>
      <c r="W174" s="64">
        <f t="shared" si="23"/>
        <v>0</v>
      </c>
      <c r="X174" s="58"/>
      <c r="Z174" s="11"/>
    </row>
    <row r="175" spans="1:26">
      <c r="A175" s="68" t="s">
        <v>292</v>
      </c>
      <c r="B175" s="68"/>
      <c r="C175" s="69"/>
      <c r="D175" s="69"/>
      <c r="E175" s="69"/>
      <c r="F175" s="70" t="s">
        <v>293</v>
      </c>
      <c r="G175" s="71">
        <f t="shared" ref="G175:S175" si="24">SUM(G35:G174)</f>
        <v>-246074724.87803751</v>
      </c>
      <c r="H175" s="71">
        <f t="shared" si="24"/>
        <v>102560135</v>
      </c>
      <c r="I175" s="71">
        <f t="shared" si="24"/>
        <v>0</v>
      </c>
      <c r="J175" s="71">
        <f t="shared" si="24"/>
        <v>1554076.5758354757</v>
      </c>
      <c r="K175" s="71">
        <f t="shared" si="24"/>
        <v>-704304</v>
      </c>
      <c r="L175" s="71">
        <f t="shared" si="24"/>
        <v>0</v>
      </c>
      <c r="M175" s="71">
        <f t="shared" si="24"/>
        <v>-142664817.30220196</v>
      </c>
      <c r="N175" s="71">
        <f t="shared" si="24"/>
        <v>-13799128.827349581</v>
      </c>
      <c r="O175" s="71">
        <f t="shared" si="24"/>
        <v>0</v>
      </c>
      <c r="P175" s="71">
        <f t="shared" si="24"/>
        <v>0</v>
      </c>
      <c r="Q175" s="71">
        <f t="shared" si="24"/>
        <v>0</v>
      </c>
      <c r="R175" s="71">
        <f t="shared" si="24"/>
        <v>-204788</v>
      </c>
      <c r="S175" s="71">
        <f t="shared" si="24"/>
        <v>-156668734.12955153</v>
      </c>
      <c r="T175" s="71"/>
      <c r="U175" s="71">
        <f>SUM(U35:U174)</f>
        <v>81857254.632374212</v>
      </c>
      <c r="V175" s="71">
        <f>SUM(V35:V174)</f>
        <v>142801392.20876977</v>
      </c>
      <c r="W175" s="71">
        <f>SUM(W35:W174)</f>
        <v>-60944137.576395504</v>
      </c>
      <c r="X175" s="58"/>
      <c r="Z175" s="11">
        <f t="shared" si="18"/>
        <v>0</v>
      </c>
    </row>
    <row r="176" spans="1:26">
      <c r="A176" s="59"/>
      <c r="B176" s="59"/>
      <c r="C176" s="65"/>
      <c r="D176" s="65"/>
      <c r="E176" s="65"/>
      <c r="F176" s="66"/>
      <c r="G176" s="56"/>
      <c r="H176" s="56"/>
      <c r="I176" s="56"/>
      <c r="J176" s="56"/>
      <c r="K176" s="56"/>
      <c r="L176" s="56"/>
      <c r="M176" s="73" t="str">
        <f>IF(SUM(G175:L175)=M175,"CF","ERROR CF")</f>
        <v>CF</v>
      </c>
      <c r="N176" s="56"/>
      <c r="O176" s="56"/>
      <c r="P176" s="56"/>
      <c r="Q176" s="56"/>
      <c r="R176" s="56"/>
      <c r="S176" s="73" t="str">
        <f>IF(SUM(M175:R175)=S175,"CF","ERROR CF")</f>
        <v>CF</v>
      </c>
      <c r="T176" s="56"/>
      <c r="U176" s="56"/>
      <c r="V176" s="56"/>
      <c r="W176" s="64"/>
      <c r="X176" s="58"/>
      <c r="Z176" s="11"/>
    </row>
    <row r="177" spans="1:26" ht="15">
      <c r="A177" s="307" t="s">
        <v>294</v>
      </c>
      <c r="B177" s="307"/>
      <c r="C177" s="307"/>
      <c r="D177" s="307"/>
      <c r="E177" s="307"/>
      <c r="F177" s="85" t="s">
        <v>295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4"/>
      <c r="X177" s="58"/>
      <c r="Z177" s="11"/>
    </row>
    <row r="178" spans="1:26" ht="12.75">
      <c r="A178" s="86" t="s">
        <v>296</v>
      </c>
      <c r="B178" s="75" t="s">
        <v>728</v>
      </c>
      <c r="C178" s="65">
        <v>185035</v>
      </c>
      <c r="D178" s="65" t="s">
        <v>297</v>
      </c>
      <c r="E178" s="54" t="s">
        <v>257</v>
      </c>
      <c r="F178" s="87">
        <v>0</v>
      </c>
      <c r="G178" s="61">
        <v>0</v>
      </c>
      <c r="H178" s="56">
        <v>0</v>
      </c>
      <c r="I178" s="56"/>
      <c r="J178" s="56">
        <v>0</v>
      </c>
      <c r="K178" s="56">
        <v>0</v>
      </c>
      <c r="L178" s="56">
        <v>0</v>
      </c>
      <c r="M178" s="61">
        <f t="shared" ref="M178:M194" si="25">SUM(G178:L178)</f>
        <v>0</v>
      </c>
      <c r="N178" s="56">
        <v>0</v>
      </c>
      <c r="O178" s="56">
        <v>0</v>
      </c>
      <c r="P178" s="58">
        <v>0</v>
      </c>
      <c r="Q178" s="58">
        <v>0</v>
      </c>
      <c r="R178" s="58">
        <v>0</v>
      </c>
      <c r="S178" s="61">
        <f t="shared" ref="S178:S194" si="26">SUM(M178:R178)</f>
        <v>0</v>
      </c>
      <c r="T178" s="56"/>
      <c r="U178" s="63">
        <f t="shared" ref="U178:U194" si="27">IF(S178&gt;0,S178*$G$308,0)</f>
        <v>0</v>
      </c>
      <c r="V178" s="56">
        <f t="shared" ref="V178:V194" si="28">IF(S178&lt;0,-S178*$G$308,0)</f>
        <v>0</v>
      </c>
      <c r="W178" s="64">
        <f t="shared" ref="W178:W194" si="29">U178-V178</f>
        <v>0</v>
      </c>
      <c r="X178" s="58"/>
      <c r="Z178" s="11">
        <f t="shared" ref="Z178:Z195" si="30">SUM(M178:R178)-S178</f>
        <v>0</v>
      </c>
    </row>
    <row r="179" spans="1:26" ht="12.75">
      <c r="A179" s="86" t="s">
        <v>298</v>
      </c>
      <c r="B179" s="75" t="s">
        <v>729</v>
      </c>
      <c r="C179" s="65">
        <v>185040</v>
      </c>
      <c r="D179" s="65" t="s">
        <v>297</v>
      </c>
      <c r="E179" s="54" t="s">
        <v>257</v>
      </c>
      <c r="F179" s="87">
        <v>0.1542</v>
      </c>
      <c r="G179" s="61">
        <v>-3182619.19</v>
      </c>
      <c r="H179" s="56">
        <v>0</v>
      </c>
      <c r="I179" s="56"/>
      <c r="J179" s="56">
        <v>0</v>
      </c>
      <c r="K179" s="56">
        <v>0</v>
      </c>
      <c r="L179" s="56">
        <v>0</v>
      </c>
      <c r="M179" s="61">
        <f t="shared" si="25"/>
        <v>-3182619.19</v>
      </c>
      <c r="N179" s="56">
        <v>0</v>
      </c>
      <c r="O179" s="56">
        <v>277767.02999999997</v>
      </c>
      <c r="P179" s="58">
        <v>0</v>
      </c>
      <c r="Q179" s="58">
        <v>0</v>
      </c>
      <c r="R179" s="58">
        <v>0</v>
      </c>
      <c r="S179" s="61">
        <f t="shared" si="26"/>
        <v>-2904852.16</v>
      </c>
      <c r="T179" s="56"/>
      <c r="U179" s="63">
        <f t="shared" si="27"/>
        <v>0</v>
      </c>
      <c r="V179" s="56">
        <f t="shared" si="28"/>
        <v>1129987.49024</v>
      </c>
      <c r="W179" s="64">
        <f t="shared" si="29"/>
        <v>-1129987.49024</v>
      </c>
      <c r="X179" s="58"/>
      <c r="Z179" s="11">
        <f t="shared" si="30"/>
        <v>0</v>
      </c>
    </row>
    <row r="180" spans="1:26" ht="12.75">
      <c r="A180" s="86" t="s">
        <v>299</v>
      </c>
      <c r="B180" s="75" t="s">
        <v>730</v>
      </c>
      <c r="C180" s="65">
        <v>185045</v>
      </c>
      <c r="D180" s="65" t="s">
        <v>297</v>
      </c>
      <c r="E180" s="54" t="s">
        <v>257</v>
      </c>
      <c r="F180" s="87">
        <v>0.1542</v>
      </c>
      <c r="G180" s="61">
        <v>453137</v>
      </c>
      <c r="H180" s="56">
        <v>0</v>
      </c>
      <c r="I180" s="56"/>
      <c r="J180" s="56">
        <v>0</v>
      </c>
      <c r="K180" s="56">
        <v>0</v>
      </c>
      <c r="L180" s="56">
        <v>0</v>
      </c>
      <c r="M180" s="61">
        <f t="shared" si="25"/>
        <v>453137</v>
      </c>
      <c r="N180" s="56">
        <v>0</v>
      </c>
      <c r="O180" s="56">
        <v>0</v>
      </c>
      <c r="P180" s="58">
        <v>0</v>
      </c>
      <c r="Q180" s="58">
        <v>0</v>
      </c>
      <c r="R180" s="58">
        <v>0</v>
      </c>
      <c r="S180" s="61">
        <f t="shared" si="26"/>
        <v>453137</v>
      </c>
      <c r="T180" s="56"/>
      <c r="U180" s="63">
        <f t="shared" si="27"/>
        <v>176270.29299999998</v>
      </c>
      <c r="V180" s="56">
        <f t="shared" si="28"/>
        <v>0</v>
      </c>
      <c r="W180" s="64">
        <f t="shared" si="29"/>
        <v>176270.29299999998</v>
      </c>
      <c r="X180" s="58"/>
      <c r="Z180" s="11">
        <f t="shared" si="30"/>
        <v>0</v>
      </c>
    </row>
    <row r="181" spans="1:26" ht="12.75">
      <c r="A181" s="86" t="s">
        <v>300</v>
      </c>
      <c r="B181" s="75" t="s">
        <v>731</v>
      </c>
      <c r="C181" s="65">
        <v>185050</v>
      </c>
      <c r="D181" s="65" t="s">
        <v>297</v>
      </c>
      <c r="E181" s="54" t="s">
        <v>257</v>
      </c>
      <c r="F181" s="87">
        <v>0</v>
      </c>
      <c r="G181" s="61">
        <v>0</v>
      </c>
      <c r="H181" s="56">
        <v>0</v>
      </c>
      <c r="I181" s="56"/>
      <c r="J181" s="56">
        <v>0</v>
      </c>
      <c r="K181" s="56">
        <v>0</v>
      </c>
      <c r="L181" s="56">
        <v>0</v>
      </c>
      <c r="M181" s="61">
        <f t="shared" si="25"/>
        <v>0</v>
      </c>
      <c r="N181" s="56">
        <v>0</v>
      </c>
      <c r="O181" s="56">
        <v>0</v>
      </c>
      <c r="P181" s="58">
        <v>0</v>
      </c>
      <c r="Q181" s="58">
        <v>0</v>
      </c>
      <c r="R181" s="58">
        <v>0</v>
      </c>
      <c r="S181" s="61">
        <f t="shared" si="26"/>
        <v>0</v>
      </c>
      <c r="T181" s="56"/>
      <c r="U181" s="63">
        <f t="shared" si="27"/>
        <v>0</v>
      </c>
      <c r="V181" s="56">
        <f t="shared" si="28"/>
        <v>0</v>
      </c>
      <c r="W181" s="64">
        <f t="shared" si="29"/>
        <v>0</v>
      </c>
      <c r="X181" s="58"/>
      <c r="Z181" s="11">
        <f t="shared" si="30"/>
        <v>0</v>
      </c>
    </row>
    <row r="182" spans="1:26" ht="12.75">
      <c r="A182" s="86" t="s">
        <v>301</v>
      </c>
      <c r="B182" s="75" t="s">
        <v>732</v>
      </c>
      <c r="C182" s="65">
        <v>185051</v>
      </c>
      <c r="D182" s="65" t="s">
        <v>297</v>
      </c>
      <c r="E182" s="54" t="s">
        <v>257</v>
      </c>
      <c r="F182" s="87">
        <v>0</v>
      </c>
      <c r="G182" s="61">
        <v>0</v>
      </c>
      <c r="H182" s="56">
        <v>0</v>
      </c>
      <c r="I182" s="56"/>
      <c r="J182" s="56">
        <v>0</v>
      </c>
      <c r="K182" s="56">
        <v>0</v>
      </c>
      <c r="L182" s="56">
        <v>0</v>
      </c>
      <c r="M182" s="61">
        <f t="shared" si="25"/>
        <v>0</v>
      </c>
      <c r="N182" s="56">
        <v>0</v>
      </c>
      <c r="O182" s="56">
        <v>0</v>
      </c>
      <c r="P182" s="58">
        <v>0</v>
      </c>
      <c r="Q182" s="58">
        <v>0</v>
      </c>
      <c r="R182" s="58">
        <v>0</v>
      </c>
      <c r="S182" s="61">
        <f t="shared" si="26"/>
        <v>0</v>
      </c>
      <c r="T182" s="56"/>
      <c r="U182" s="63">
        <f t="shared" si="27"/>
        <v>0</v>
      </c>
      <c r="V182" s="56">
        <f t="shared" si="28"/>
        <v>0</v>
      </c>
      <c r="W182" s="64">
        <f t="shared" si="29"/>
        <v>0</v>
      </c>
      <c r="X182" s="58"/>
      <c r="Z182" s="11">
        <f t="shared" si="30"/>
        <v>0</v>
      </c>
    </row>
    <row r="183" spans="1:26" ht="12.75">
      <c r="A183" s="86" t="s">
        <v>302</v>
      </c>
      <c r="B183" s="75" t="s">
        <v>733</v>
      </c>
      <c r="C183" s="88">
        <v>256210</v>
      </c>
      <c r="D183" s="65" t="s">
        <v>297</v>
      </c>
      <c r="E183" s="54" t="s">
        <v>257</v>
      </c>
      <c r="F183" s="87">
        <v>0.06</v>
      </c>
      <c r="G183" s="61">
        <v>1284795</v>
      </c>
      <c r="H183" s="56">
        <v>0</v>
      </c>
      <c r="I183" s="56"/>
      <c r="J183" s="56">
        <v>0</v>
      </c>
      <c r="K183" s="56">
        <v>0</v>
      </c>
      <c r="L183" s="56">
        <v>0</v>
      </c>
      <c r="M183" s="61">
        <f t="shared" si="25"/>
        <v>1284795</v>
      </c>
      <c r="N183" s="56">
        <v>0</v>
      </c>
      <c r="O183" s="56">
        <v>0</v>
      </c>
      <c r="P183" s="58">
        <v>0</v>
      </c>
      <c r="Q183" s="58">
        <v>0</v>
      </c>
      <c r="R183" s="58">
        <v>0</v>
      </c>
      <c r="S183" s="61">
        <f t="shared" si="26"/>
        <v>1284795</v>
      </c>
      <c r="T183" s="56"/>
      <c r="U183" s="63">
        <f t="shared" si="27"/>
        <v>499785.25499999995</v>
      </c>
      <c r="V183" s="56">
        <f t="shared" si="28"/>
        <v>0</v>
      </c>
      <c r="W183" s="64">
        <f t="shared" si="29"/>
        <v>499785.25499999995</v>
      </c>
      <c r="X183" s="58"/>
      <c r="Z183" s="11">
        <f t="shared" si="30"/>
        <v>0</v>
      </c>
    </row>
    <row r="184" spans="1:26" ht="12.75">
      <c r="A184" s="86" t="s">
        <v>303</v>
      </c>
      <c r="B184" s="75" t="s">
        <v>734</v>
      </c>
      <c r="C184" s="65">
        <v>256220</v>
      </c>
      <c r="D184" s="65" t="s">
        <v>297</v>
      </c>
      <c r="E184" s="54" t="s">
        <v>257</v>
      </c>
      <c r="F184" s="87">
        <v>0.06</v>
      </c>
      <c r="G184" s="61">
        <v>-251289</v>
      </c>
      <c r="H184" s="56">
        <v>0</v>
      </c>
      <c r="I184" s="56"/>
      <c r="J184" s="56">
        <v>0</v>
      </c>
      <c r="K184" s="56">
        <v>0</v>
      </c>
      <c r="L184" s="56">
        <v>0</v>
      </c>
      <c r="M184" s="61">
        <f t="shared" si="25"/>
        <v>-251289</v>
      </c>
      <c r="N184" s="56">
        <v>0</v>
      </c>
      <c r="O184" s="56">
        <v>0</v>
      </c>
      <c r="P184" s="58">
        <v>0</v>
      </c>
      <c r="Q184" s="58">
        <v>0</v>
      </c>
      <c r="R184" s="58">
        <v>0</v>
      </c>
      <c r="S184" s="61">
        <f t="shared" si="26"/>
        <v>-251289</v>
      </c>
      <c r="T184" s="56"/>
      <c r="U184" s="63">
        <f t="shared" si="27"/>
        <v>0</v>
      </c>
      <c r="V184" s="56">
        <f t="shared" si="28"/>
        <v>97751.420999999988</v>
      </c>
      <c r="W184" s="64">
        <f t="shared" si="29"/>
        <v>-97751.420999999988</v>
      </c>
      <c r="X184" s="58"/>
      <c r="Z184" s="11">
        <f t="shared" si="30"/>
        <v>0</v>
      </c>
    </row>
    <row r="185" spans="1:26" ht="12.75">
      <c r="A185" s="89" t="s">
        <v>304</v>
      </c>
      <c r="B185" s="75" t="s">
        <v>735</v>
      </c>
      <c r="C185" s="65">
        <v>256230</v>
      </c>
      <c r="D185" s="65" t="s">
        <v>297</v>
      </c>
      <c r="E185" s="54" t="s">
        <v>257</v>
      </c>
      <c r="F185" s="87">
        <v>1</v>
      </c>
      <c r="G185" s="61">
        <v>1569198.67</v>
      </c>
      <c r="H185" s="56">
        <v>0</v>
      </c>
      <c r="I185" s="56"/>
      <c r="J185" s="56">
        <v>0</v>
      </c>
      <c r="K185" s="56">
        <v>0</v>
      </c>
      <c r="L185" s="56">
        <v>0</v>
      </c>
      <c r="M185" s="61">
        <f t="shared" si="25"/>
        <v>1569198.67</v>
      </c>
      <c r="N185" s="56">
        <v>0</v>
      </c>
      <c r="O185" s="56">
        <v>0</v>
      </c>
      <c r="P185" s="58">
        <v>0</v>
      </c>
      <c r="Q185" s="58">
        <v>0</v>
      </c>
      <c r="R185" s="58">
        <v>0</v>
      </c>
      <c r="S185" s="61">
        <f t="shared" si="26"/>
        <v>1569198.67</v>
      </c>
      <c r="T185" s="56"/>
      <c r="U185" s="63">
        <f t="shared" si="27"/>
        <v>610418.28262999991</v>
      </c>
      <c r="V185" s="56">
        <f t="shared" si="28"/>
        <v>0</v>
      </c>
      <c r="W185" s="64">
        <f t="shared" si="29"/>
        <v>610418.28262999991</v>
      </c>
      <c r="X185" s="58"/>
      <c r="Z185" s="11">
        <f t="shared" si="30"/>
        <v>0</v>
      </c>
    </row>
    <row r="186" spans="1:26" ht="12.75">
      <c r="A186" s="89" t="s">
        <v>305</v>
      </c>
      <c r="B186" s="75" t="s">
        <v>736</v>
      </c>
      <c r="C186" s="65">
        <v>256240</v>
      </c>
      <c r="D186" s="65" t="s">
        <v>297</v>
      </c>
      <c r="E186" s="54" t="s">
        <v>257</v>
      </c>
      <c r="F186" s="87">
        <v>0</v>
      </c>
      <c r="G186" s="61">
        <v>0</v>
      </c>
      <c r="H186" s="56">
        <v>0</v>
      </c>
      <c r="I186" s="56"/>
      <c r="J186" s="56">
        <v>0</v>
      </c>
      <c r="K186" s="56">
        <v>0</v>
      </c>
      <c r="L186" s="56">
        <v>0</v>
      </c>
      <c r="M186" s="61">
        <f t="shared" si="25"/>
        <v>0</v>
      </c>
      <c r="N186" s="56">
        <v>0</v>
      </c>
      <c r="O186" s="56">
        <v>0</v>
      </c>
      <c r="P186" s="58">
        <v>0</v>
      </c>
      <c r="Q186" s="58">
        <v>0</v>
      </c>
      <c r="R186" s="58">
        <v>0</v>
      </c>
      <c r="S186" s="61">
        <f t="shared" si="26"/>
        <v>0</v>
      </c>
      <c r="T186" s="56"/>
      <c r="U186" s="63">
        <f t="shared" si="27"/>
        <v>0</v>
      </c>
      <c r="V186" s="56">
        <f t="shared" si="28"/>
        <v>0</v>
      </c>
      <c r="W186" s="64">
        <f t="shared" si="29"/>
        <v>0</v>
      </c>
      <c r="X186" s="58"/>
      <c r="Z186" s="11">
        <f t="shared" si="30"/>
        <v>0</v>
      </c>
    </row>
    <row r="187" spans="1:26" ht="12.75">
      <c r="A187" s="89" t="s">
        <v>306</v>
      </c>
      <c r="B187" s="75" t="s">
        <v>737</v>
      </c>
      <c r="C187" s="65">
        <v>256310</v>
      </c>
      <c r="D187" s="65" t="s">
        <v>297</v>
      </c>
      <c r="E187" s="54" t="s">
        <v>257</v>
      </c>
      <c r="F187" s="87">
        <v>0.1542</v>
      </c>
      <c r="G187" s="61">
        <v>643059</v>
      </c>
      <c r="H187" s="56">
        <v>0</v>
      </c>
      <c r="I187" s="56"/>
      <c r="J187" s="56">
        <v>0</v>
      </c>
      <c r="K187" s="56">
        <v>0</v>
      </c>
      <c r="L187" s="56">
        <v>0</v>
      </c>
      <c r="M187" s="61">
        <f t="shared" si="25"/>
        <v>643059</v>
      </c>
      <c r="N187" s="56">
        <v>0</v>
      </c>
      <c r="O187" s="56">
        <v>0</v>
      </c>
      <c r="P187" s="58">
        <v>0</v>
      </c>
      <c r="Q187" s="58">
        <v>0</v>
      </c>
      <c r="R187" s="58">
        <v>0</v>
      </c>
      <c r="S187" s="61">
        <f t="shared" si="26"/>
        <v>643059</v>
      </c>
      <c r="T187" s="56"/>
      <c r="U187" s="63">
        <f t="shared" si="27"/>
        <v>250149.95099999997</v>
      </c>
      <c r="V187" s="56">
        <f t="shared" si="28"/>
        <v>0</v>
      </c>
      <c r="W187" s="64">
        <f t="shared" si="29"/>
        <v>250149.95099999997</v>
      </c>
      <c r="Z187" s="11">
        <f t="shared" si="30"/>
        <v>0</v>
      </c>
    </row>
    <row r="188" spans="1:26" ht="12.75">
      <c r="A188" s="89" t="s">
        <v>307</v>
      </c>
      <c r="B188" s="75" t="s">
        <v>738</v>
      </c>
      <c r="C188" s="65">
        <v>256315</v>
      </c>
      <c r="D188" s="65" t="s">
        <v>297</v>
      </c>
      <c r="E188" s="54" t="s">
        <v>257</v>
      </c>
      <c r="F188" s="87">
        <v>0</v>
      </c>
      <c r="G188" s="61">
        <v>0</v>
      </c>
      <c r="H188" s="56">
        <v>0</v>
      </c>
      <c r="I188" s="56"/>
      <c r="J188" s="56">
        <v>0</v>
      </c>
      <c r="K188" s="56">
        <v>0</v>
      </c>
      <c r="L188" s="56">
        <v>0</v>
      </c>
      <c r="M188" s="61">
        <f t="shared" si="25"/>
        <v>0</v>
      </c>
      <c r="N188" s="56">
        <v>0</v>
      </c>
      <c r="O188" s="56">
        <v>0</v>
      </c>
      <c r="P188" s="58">
        <v>0</v>
      </c>
      <c r="Q188" s="58">
        <v>0</v>
      </c>
      <c r="R188" s="58">
        <v>0</v>
      </c>
      <c r="S188" s="61">
        <f t="shared" si="26"/>
        <v>0</v>
      </c>
      <c r="T188" s="56"/>
      <c r="U188" s="63">
        <f t="shared" si="27"/>
        <v>0</v>
      </c>
      <c r="V188" s="56">
        <f t="shared" si="28"/>
        <v>0</v>
      </c>
      <c r="W188" s="64">
        <f t="shared" si="29"/>
        <v>0</v>
      </c>
      <c r="X188" s="58"/>
      <c r="Z188" s="11">
        <f t="shared" si="30"/>
        <v>0</v>
      </c>
    </row>
    <row r="189" spans="1:26" ht="12.75">
      <c r="A189" s="74" t="s">
        <v>86</v>
      </c>
      <c r="B189" s="75" t="s">
        <v>308</v>
      </c>
      <c r="C189" s="65"/>
      <c r="D189" s="65" t="s">
        <v>93</v>
      </c>
      <c r="E189" s="54" t="s">
        <v>257</v>
      </c>
      <c r="F189" s="87">
        <v>0</v>
      </c>
      <c r="G189" s="61">
        <v>0</v>
      </c>
      <c r="H189" s="56">
        <v>0</v>
      </c>
      <c r="I189" s="56"/>
      <c r="J189" s="56">
        <v>0</v>
      </c>
      <c r="K189" s="56">
        <v>0</v>
      </c>
      <c r="L189" s="56">
        <v>0</v>
      </c>
      <c r="M189" s="61">
        <f t="shared" si="25"/>
        <v>0</v>
      </c>
      <c r="N189" s="56">
        <v>0</v>
      </c>
      <c r="O189" s="56">
        <v>0</v>
      </c>
      <c r="P189" s="58">
        <v>0</v>
      </c>
      <c r="Q189" s="58">
        <v>0</v>
      </c>
      <c r="R189" s="58">
        <v>0</v>
      </c>
      <c r="S189" s="61">
        <f t="shared" si="26"/>
        <v>0</v>
      </c>
      <c r="T189" s="56"/>
      <c r="U189" s="63">
        <f t="shared" si="27"/>
        <v>0</v>
      </c>
      <c r="V189" s="56">
        <f t="shared" si="28"/>
        <v>0</v>
      </c>
      <c r="W189" s="64">
        <f t="shared" si="29"/>
        <v>0</v>
      </c>
      <c r="X189" s="58"/>
      <c r="Z189" s="11">
        <f t="shared" si="30"/>
        <v>0</v>
      </c>
    </row>
    <row r="190" spans="1:26">
      <c r="A190" s="74" t="s">
        <v>86</v>
      </c>
      <c r="B190" s="75" t="s">
        <v>309</v>
      </c>
      <c r="C190" s="65"/>
      <c r="D190" s="65" t="s">
        <v>297</v>
      </c>
      <c r="E190" s="54" t="s">
        <v>257</v>
      </c>
      <c r="F190" s="84"/>
      <c r="G190" s="61">
        <v>0</v>
      </c>
      <c r="H190" s="56">
        <v>0</v>
      </c>
      <c r="I190" s="56"/>
      <c r="J190" s="56">
        <v>0</v>
      </c>
      <c r="K190" s="56">
        <v>0</v>
      </c>
      <c r="L190" s="56">
        <v>0</v>
      </c>
      <c r="M190" s="61">
        <f t="shared" si="25"/>
        <v>0</v>
      </c>
      <c r="N190" s="56">
        <v>0</v>
      </c>
      <c r="O190" s="56">
        <v>0</v>
      </c>
      <c r="P190" s="58">
        <v>0</v>
      </c>
      <c r="Q190" s="58">
        <v>0</v>
      </c>
      <c r="R190" s="58">
        <v>0</v>
      </c>
      <c r="S190" s="61">
        <f t="shared" si="26"/>
        <v>0</v>
      </c>
      <c r="T190" s="56"/>
      <c r="U190" s="63">
        <f t="shared" si="27"/>
        <v>0</v>
      </c>
      <c r="V190" s="56">
        <f t="shared" si="28"/>
        <v>0</v>
      </c>
      <c r="W190" s="64">
        <f t="shared" si="29"/>
        <v>0</v>
      </c>
      <c r="X190" s="58"/>
      <c r="Z190" s="11">
        <f t="shared" si="30"/>
        <v>0</v>
      </c>
    </row>
    <row r="191" spans="1:26">
      <c r="A191" s="74" t="s">
        <v>86</v>
      </c>
      <c r="B191" s="75" t="s">
        <v>310</v>
      </c>
      <c r="C191" s="65"/>
      <c r="D191" s="65" t="s">
        <v>93</v>
      </c>
      <c r="E191" s="54" t="s">
        <v>137</v>
      </c>
      <c r="F191" s="84"/>
      <c r="G191" s="61">
        <v>0</v>
      </c>
      <c r="H191" s="56">
        <v>0</v>
      </c>
      <c r="I191" s="56"/>
      <c r="J191" s="56">
        <v>0</v>
      </c>
      <c r="K191" s="56">
        <v>0</v>
      </c>
      <c r="L191" s="56">
        <v>0</v>
      </c>
      <c r="M191" s="61">
        <f t="shared" si="25"/>
        <v>0</v>
      </c>
      <c r="N191" s="56">
        <v>0</v>
      </c>
      <c r="O191" s="56">
        <v>0</v>
      </c>
      <c r="P191" s="58">
        <v>0</v>
      </c>
      <c r="Q191" s="58">
        <v>0</v>
      </c>
      <c r="R191" s="58">
        <v>0</v>
      </c>
      <c r="S191" s="61">
        <f t="shared" si="26"/>
        <v>0</v>
      </c>
      <c r="T191" s="56"/>
      <c r="U191" s="63">
        <f t="shared" si="27"/>
        <v>0</v>
      </c>
      <c r="V191" s="56">
        <f t="shared" si="28"/>
        <v>0</v>
      </c>
      <c r="W191" s="64">
        <f t="shared" si="29"/>
        <v>0</v>
      </c>
      <c r="X191" s="58"/>
      <c r="Z191" s="11">
        <f t="shared" si="30"/>
        <v>0</v>
      </c>
    </row>
    <row r="192" spans="1:26">
      <c r="A192" s="74" t="s">
        <v>86</v>
      </c>
      <c r="B192" s="75" t="s">
        <v>310</v>
      </c>
      <c r="C192" s="65"/>
      <c r="D192" s="65"/>
      <c r="E192" s="54" t="s">
        <v>257</v>
      </c>
      <c r="F192" s="84"/>
      <c r="G192" s="61">
        <v>0</v>
      </c>
      <c r="H192" s="56">
        <v>0</v>
      </c>
      <c r="I192" s="56"/>
      <c r="J192" s="56">
        <v>0</v>
      </c>
      <c r="K192" s="56">
        <v>0</v>
      </c>
      <c r="L192" s="56">
        <v>0</v>
      </c>
      <c r="M192" s="61">
        <f t="shared" si="25"/>
        <v>0</v>
      </c>
      <c r="N192" s="56">
        <v>0</v>
      </c>
      <c r="O192" s="56">
        <v>0</v>
      </c>
      <c r="P192" s="58">
        <v>0</v>
      </c>
      <c r="Q192" s="58">
        <v>0</v>
      </c>
      <c r="R192" s="58">
        <v>0</v>
      </c>
      <c r="S192" s="61">
        <f t="shared" si="26"/>
        <v>0</v>
      </c>
      <c r="T192" s="56"/>
      <c r="U192" s="63">
        <f t="shared" si="27"/>
        <v>0</v>
      </c>
      <c r="V192" s="56">
        <f t="shared" si="28"/>
        <v>0</v>
      </c>
      <c r="W192" s="64">
        <f t="shared" si="29"/>
        <v>0</v>
      </c>
      <c r="X192" s="58"/>
      <c r="Z192" s="11">
        <f t="shared" si="30"/>
        <v>0</v>
      </c>
    </row>
    <row r="193" spans="1:26">
      <c r="A193" s="74" t="s">
        <v>86</v>
      </c>
      <c r="B193" s="75" t="s">
        <v>310</v>
      </c>
      <c r="C193" s="65"/>
      <c r="D193" s="65"/>
      <c r="E193" s="54">
        <v>0</v>
      </c>
      <c r="F193" s="84"/>
      <c r="G193" s="61">
        <v>0</v>
      </c>
      <c r="H193" s="56">
        <v>0</v>
      </c>
      <c r="I193" s="56"/>
      <c r="J193" s="56">
        <v>0</v>
      </c>
      <c r="K193" s="56">
        <v>0</v>
      </c>
      <c r="L193" s="56">
        <v>0</v>
      </c>
      <c r="M193" s="61">
        <f t="shared" si="25"/>
        <v>0</v>
      </c>
      <c r="N193" s="56">
        <v>0</v>
      </c>
      <c r="O193" s="56">
        <v>0</v>
      </c>
      <c r="P193" s="58">
        <v>0</v>
      </c>
      <c r="Q193" s="58">
        <v>0</v>
      </c>
      <c r="R193" s="58">
        <v>0</v>
      </c>
      <c r="S193" s="61">
        <f t="shared" si="26"/>
        <v>0</v>
      </c>
      <c r="T193" s="56"/>
      <c r="U193" s="63">
        <f t="shared" si="27"/>
        <v>0</v>
      </c>
      <c r="V193" s="56">
        <f t="shared" si="28"/>
        <v>0</v>
      </c>
      <c r="W193" s="64">
        <f t="shared" si="29"/>
        <v>0</v>
      </c>
      <c r="X193" s="58"/>
      <c r="Z193" s="11">
        <f t="shared" si="30"/>
        <v>0</v>
      </c>
    </row>
    <row r="194" spans="1:26">
      <c r="A194" s="74" t="s">
        <v>86</v>
      </c>
      <c r="B194" s="75" t="s">
        <v>310</v>
      </c>
      <c r="C194" s="65"/>
      <c r="D194" s="65"/>
      <c r="E194" s="54">
        <v>0</v>
      </c>
      <c r="F194" s="84"/>
      <c r="G194" s="61">
        <v>0</v>
      </c>
      <c r="H194" s="56">
        <v>0</v>
      </c>
      <c r="I194" s="56"/>
      <c r="J194" s="56">
        <v>0</v>
      </c>
      <c r="K194" s="56">
        <v>0</v>
      </c>
      <c r="L194" s="56">
        <v>0</v>
      </c>
      <c r="M194" s="61">
        <f t="shared" si="25"/>
        <v>0</v>
      </c>
      <c r="N194" s="56">
        <v>0</v>
      </c>
      <c r="O194" s="56">
        <v>0</v>
      </c>
      <c r="P194" s="58">
        <v>0</v>
      </c>
      <c r="Q194" s="58">
        <v>0</v>
      </c>
      <c r="R194" s="58">
        <v>0</v>
      </c>
      <c r="S194" s="61">
        <f t="shared" si="26"/>
        <v>0</v>
      </c>
      <c r="T194" s="56"/>
      <c r="U194" s="63">
        <f t="shared" si="27"/>
        <v>0</v>
      </c>
      <c r="V194" s="56">
        <f t="shared" si="28"/>
        <v>0</v>
      </c>
      <c r="W194" s="64">
        <f t="shared" si="29"/>
        <v>0</v>
      </c>
      <c r="X194" s="58"/>
      <c r="Z194" s="11">
        <f t="shared" si="30"/>
        <v>0</v>
      </c>
    </row>
    <row r="195" spans="1:26">
      <c r="A195" s="68" t="s">
        <v>311</v>
      </c>
      <c r="B195" s="68"/>
      <c r="C195" s="69"/>
      <c r="D195" s="69"/>
      <c r="E195" s="69"/>
      <c r="F195" s="70" t="s">
        <v>312</v>
      </c>
      <c r="G195" s="71">
        <f t="shared" ref="G195:S195" si="31">SUM(G178:G194)</f>
        <v>516281.48</v>
      </c>
      <c r="H195" s="71">
        <f t="shared" si="31"/>
        <v>0</v>
      </c>
      <c r="I195" s="71">
        <f t="shared" si="31"/>
        <v>0</v>
      </c>
      <c r="J195" s="71">
        <f t="shared" si="31"/>
        <v>0</v>
      </c>
      <c r="K195" s="71">
        <f t="shared" si="31"/>
        <v>0</v>
      </c>
      <c r="L195" s="71">
        <f t="shared" si="31"/>
        <v>0</v>
      </c>
      <c r="M195" s="71">
        <f t="shared" si="31"/>
        <v>516281.48</v>
      </c>
      <c r="N195" s="71">
        <f t="shared" si="31"/>
        <v>0</v>
      </c>
      <c r="O195" s="71">
        <f>SUM(O178:O194)</f>
        <v>277767.02999999997</v>
      </c>
      <c r="P195" s="71">
        <f>SUM(P178:P194)</f>
        <v>0</v>
      </c>
      <c r="Q195" s="71">
        <f t="shared" si="31"/>
        <v>0</v>
      </c>
      <c r="R195" s="71">
        <f t="shared" si="31"/>
        <v>0</v>
      </c>
      <c r="S195" s="71">
        <f t="shared" si="31"/>
        <v>794048.50999999978</v>
      </c>
      <c r="T195" s="71"/>
      <c r="U195" s="90">
        <f>SUM(U178:U194)</f>
        <v>1536623.7816299996</v>
      </c>
      <c r="V195" s="71">
        <f>SUM(V178:V194)</f>
        <v>1227738.91124</v>
      </c>
      <c r="W195" s="91">
        <f>SUM(W178:W194)</f>
        <v>308884.87038999982</v>
      </c>
      <c r="X195" s="58"/>
      <c r="Z195" s="11">
        <f t="shared" si="30"/>
        <v>0</v>
      </c>
    </row>
    <row r="196" spans="1:26">
      <c r="C196" s="88"/>
      <c r="D196" s="10"/>
      <c r="F196" s="84"/>
      <c r="G196" s="56"/>
      <c r="H196" s="56"/>
      <c r="I196" s="56"/>
      <c r="J196" s="56"/>
      <c r="K196" s="56"/>
      <c r="L196" s="56"/>
      <c r="M196" s="73" t="str">
        <f>IF(SUM(G195:L195)=M195,"CF","ERROR CF")</f>
        <v>CF</v>
      </c>
      <c r="N196" s="56"/>
      <c r="O196" s="56"/>
      <c r="P196" s="56"/>
      <c r="Q196" s="56"/>
      <c r="R196" s="56"/>
      <c r="S196" s="73" t="str">
        <f>IF(ROUND(SUM(M195:R195),0)=ROUND(S195,0),"CF","ERROR CF")</f>
        <v>CF</v>
      </c>
      <c r="T196" s="56"/>
      <c r="U196" s="56"/>
      <c r="V196" s="56"/>
      <c r="W196" s="64"/>
      <c r="X196" s="58"/>
      <c r="Z196" s="11"/>
    </row>
    <row r="197" spans="1:26" ht="15">
      <c r="A197" s="307" t="s">
        <v>313</v>
      </c>
      <c r="B197" s="307"/>
      <c r="C197" s="307"/>
      <c r="D197" s="307"/>
      <c r="E197" s="307"/>
      <c r="F197" s="84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64"/>
      <c r="X197" s="58"/>
      <c r="Z197" s="11"/>
    </row>
    <row r="198" spans="1:26">
      <c r="A198" s="86" t="s">
        <v>314</v>
      </c>
      <c r="B198" s="75" t="s">
        <v>739</v>
      </c>
      <c r="C198" s="65">
        <v>255000</v>
      </c>
      <c r="D198" s="65" t="s">
        <v>315</v>
      </c>
      <c r="E198" s="54" t="s">
        <v>316</v>
      </c>
      <c r="F198" s="79" t="s">
        <v>317</v>
      </c>
      <c r="G198" s="61">
        <v>963419.61</v>
      </c>
      <c r="H198" s="56">
        <v>0</v>
      </c>
      <c r="I198" s="56"/>
      <c r="J198" s="56">
        <v>0</v>
      </c>
      <c r="K198" s="56">
        <v>0</v>
      </c>
      <c r="L198" s="56">
        <v>0</v>
      </c>
      <c r="M198" s="61">
        <f t="shared" ref="M198:M203" si="32">SUM(G198:L198)</f>
        <v>963419.61</v>
      </c>
      <c r="N198" s="56">
        <v>0</v>
      </c>
      <c r="O198" s="56">
        <v>0</v>
      </c>
      <c r="P198" s="56">
        <v>-84797.040000000008</v>
      </c>
      <c r="Q198" s="58">
        <v>0</v>
      </c>
      <c r="R198" s="58">
        <v>0</v>
      </c>
      <c r="S198" s="61">
        <f t="shared" ref="S198:S203" si="33">SUM(M198:R198)</f>
        <v>878622.57</v>
      </c>
      <c r="T198" s="56"/>
      <c r="U198" s="63">
        <f t="shared" ref="U198:U203" si="34">IF(S198&gt;0,S198*$G$308,0)</f>
        <v>341784.17972999992</v>
      </c>
      <c r="V198" s="56">
        <f t="shared" ref="V198:V203" si="35">IF(S198&lt;0,-S198*$G$308,0)</f>
        <v>0</v>
      </c>
      <c r="W198" s="64">
        <f t="shared" ref="W198:W203" si="36">U198-V198</f>
        <v>341784.17972999992</v>
      </c>
      <c r="X198" s="58"/>
      <c r="Z198" s="11">
        <f t="shared" ref="Z198:Z204" si="37">SUM(M198:R198)-S198</f>
        <v>0</v>
      </c>
    </row>
    <row r="199" spans="1:26">
      <c r="A199" s="86" t="s">
        <v>318</v>
      </c>
      <c r="B199" s="75" t="s">
        <v>740</v>
      </c>
      <c r="C199" s="65">
        <v>255105</v>
      </c>
      <c r="D199" s="65" t="s">
        <v>315</v>
      </c>
      <c r="E199" s="54" t="s">
        <v>316</v>
      </c>
      <c r="F199" s="84"/>
      <c r="G199" s="61">
        <v>0</v>
      </c>
      <c r="H199" s="56">
        <v>0</v>
      </c>
      <c r="I199" s="56"/>
      <c r="J199" s="56">
        <v>0</v>
      </c>
      <c r="K199" s="56">
        <v>0</v>
      </c>
      <c r="L199" s="56">
        <v>0</v>
      </c>
      <c r="M199" s="61">
        <f t="shared" si="32"/>
        <v>0</v>
      </c>
      <c r="N199" s="56">
        <v>0</v>
      </c>
      <c r="O199" s="56">
        <v>0</v>
      </c>
      <c r="P199" s="58">
        <v>0</v>
      </c>
      <c r="Q199" s="58">
        <v>0</v>
      </c>
      <c r="R199" s="58">
        <v>0</v>
      </c>
      <c r="S199" s="61">
        <f t="shared" si="33"/>
        <v>0</v>
      </c>
      <c r="T199" s="56"/>
      <c r="U199" s="63">
        <f t="shared" si="34"/>
        <v>0</v>
      </c>
      <c r="V199" s="56">
        <f t="shared" si="35"/>
        <v>0</v>
      </c>
      <c r="W199" s="64">
        <f t="shared" si="36"/>
        <v>0</v>
      </c>
      <c r="X199" s="58"/>
      <c r="Z199" s="11">
        <f t="shared" si="37"/>
        <v>0</v>
      </c>
    </row>
    <row r="200" spans="1:26">
      <c r="A200" s="74" t="s">
        <v>86</v>
      </c>
      <c r="B200" s="75" t="s">
        <v>8</v>
      </c>
      <c r="D200" s="65"/>
      <c r="E200" s="54">
        <v>0</v>
      </c>
      <c r="F200" s="84"/>
      <c r="G200" s="61">
        <v>0</v>
      </c>
      <c r="H200" s="56">
        <v>0</v>
      </c>
      <c r="I200" s="56"/>
      <c r="J200" s="56">
        <v>0</v>
      </c>
      <c r="K200" s="56">
        <v>0</v>
      </c>
      <c r="L200" s="56">
        <v>0</v>
      </c>
      <c r="M200" s="61">
        <f t="shared" si="32"/>
        <v>0</v>
      </c>
      <c r="N200" s="56">
        <v>0</v>
      </c>
      <c r="O200" s="56">
        <v>0</v>
      </c>
      <c r="P200" s="58">
        <v>0</v>
      </c>
      <c r="Q200" s="58">
        <v>0</v>
      </c>
      <c r="R200" s="58">
        <v>0</v>
      </c>
      <c r="S200" s="61">
        <f t="shared" si="33"/>
        <v>0</v>
      </c>
      <c r="T200" s="56"/>
      <c r="U200" s="63">
        <f t="shared" si="34"/>
        <v>0</v>
      </c>
      <c r="V200" s="56">
        <f t="shared" si="35"/>
        <v>0</v>
      </c>
      <c r="W200" s="64">
        <f t="shared" si="36"/>
        <v>0</v>
      </c>
      <c r="Z200" s="11">
        <f t="shared" si="37"/>
        <v>0</v>
      </c>
    </row>
    <row r="201" spans="1:26">
      <c r="A201" s="74" t="s">
        <v>86</v>
      </c>
      <c r="B201" s="75" t="s">
        <v>8</v>
      </c>
      <c r="D201" s="65"/>
      <c r="E201" s="54">
        <v>0</v>
      </c>
      <c r="F201" s="84"/>
      <c r="G201" s="61">
        <v>0</v>
      </c>
      <c r="H201" s="56">
        <v>0</v>
      </c>
      <c r="I201" s="56"/>
      <c r="J201" s="56">
        <v>0</v>
      </c>
      <c r="K201" s="56">
        <v>0</v>
      </c>
      <c r="L201" s="56">
        <v>0</v>
      </c>
      <c r="M201" s="61">
        <f t="shared" si="32"/>
        <v>0</v>
      </c>
      <c r="N201" s="56">
        <v>0</v>
      </c>
      <c r="O201" s="56">
        <v>0</v>
      </c>
      <c r="P201" s="58">
        <v>0</v>
      </c>
      <c r="Q201" s="58">
        <v>0</v>
      </c>
      <c r="R201" s="58">
        <v>0</v>
      </c>
      <c r="S201" s="61">
        <f t="shared" si="33"/>
        <v>0</v>
      </c>
      <c r="T201" s="56"/>
      <c r="U201" s="63">
        <f t="shared" si="34"/>
        <v>0</v>
      </c>
      <c r="V201" s="56">
        <f t="shared" si="35"/>
        <v>0</v>
      </c>
      <c r="W201" s="64">
        <f t="shared" si="36"/>
        <v>0</v>
      </c>
      <c r="Z201" s="11">
        <f t="shared" si="37"/>
        <v>0</v>
      </c>
    </row>
    <row r="202" spans="1:26">
      <c r="A202" s="74" t="s">
        <v>86</v>
      </c>
      <c r="B202" s="75" t="s">
        <v>8</v>
      </c>
      <c r="D202" s="65"/>
      <c r="E202" s="54">
        <v>0</v>
      </c>
      <c r="F202" s="84"/>
      <c r="G202" s="61">
        <v>0</v>
      </c>
      <c r="H202" s="56">
        <v>0</v>
      </c>
      <c r="I202" s="56"/>
      <c r="J202" s="56">
        <v>0</v>
      </c>
      <c r="K202" s="56">
        <v>0</v>
      </c>
      <c r="L202" s="56">
        <v>0</v>
      </c>
      <c r="M202" s="61">
        <f t="shared" si="32"/>
        <v>0</v>
      </c>
      <c r="N202" s="56">
        <v>0</v>
      </c>
      <c r="O202" s="56">
        <v>0</v>
      </c>
      <c r="P202" s="58">
        <v>0</v>
      </c>
      <c r="Q202" s="58">
        <v>0</v>
      </c>
      <c r="R202" s="58">
        <v>0</v>
      </c>
      <c r="S202" s="61">
        <f t="shared" si="33"/>
        <v>0</v>
      </c>
      <c r="T202" s="56"/>
      <c r="U202" s="63">
        <f t="shared" si="34"/>
        <v>0</v>
      </c>
      <c r="V202" s="56">
        <f t="shared" si="35"/>
        <v>0</v>
      </c>
      <c r="W202" s="64">
        <f t="shared" si="36"/>
        <v>0</v>
      </c>
      <c r="Z202" s="11">
        <f t="shared" si="37"/>
        <v>0</v>
      </c>
    </row>
    <row r="203" spans="1:26">
      <c r="A203" s="74" t="s">
        <v>86</v>
      </c>
      <c r="B203" s="75" t="s">
        <v>319</v>
      </c>
      <c r="D203" s="65" t="s">
        <v>315</v>
      </c>
      <c r="E203" s="54" t="s">
        <v>316</v>
      </c>
      <c r="F203" s="84"/>
      <c r="G203" s="61">
        <v>0</v>
      </c>
      <c r="H203" s="56">
        <v>0</v>
      </c>
      <c r="I203" s="56"/>
      <c r="J203" s="56">
        <v>0</v>
      </c>
      <c r="K203" s="56">
        <v>0</v>
      </c>
      <c r="L203" s="56">
        <v>0</v>
      </c>
      <c r="M203" s="61">
        <f t="shared" si="32"/>
        <v>0</v>
      </c>
      <c r="N203" s="56">
        <v>0</v>
      </c>
      <c r="O203" s="56">
        <v>0</v>
      </c>
      <c r="P203" s="58">
        <v>0</v>
      </c>
      <c r="Q203" s="58">
        <v>0</v>
      </c>
      <c r="R203" s="58">
        <v>0</v>
      </c>
      <c r="S203" s="61">
        <f t="shared" si="33"/>
        <v>0</v>
      </c>
      <c r="T203" s="56"/>
      <c r="U203" s="63">
        <f t="shared" si="34"/>
        <v>0</v>
      </c>
      <c r="V203" s="56">
        <f t="shared" si="35"/>
        <v>0</v>
      </c>
      <c r="W203" s="64">
        <f t="shared" si="36"/>
        <v>0</v>
      </c>
      <c r="X203" s="58"/>
      <c r="Z203" s="11">
        <f t="shared" si="37"/>
        <v>0</v>
      </c>
    </row>
    <row r="204" spans="1:26">
      <c r="A204" s="68" t="s">
        <v>320</v>
      </c>
      <c r="B204" s="68"/>
      <c r="C204" s="69"/>
      <c r="D204" s="69"/>
      <c r="E204" s="69"/>
      <c r="F204" s="70" t="s">
        <v>321</v>
      </c>
      <c r="G204" s="71">
        <f t="shared" ref="G204:S204" si="38">SUM(G198:G203)</f>
        <v>963419.61</v>
      </c>
      <c r="H204" s="71">
        <f t="shared" si="38"/>
        <v>0</v>
      </c>
      <c r="I204" s="71">
        <f t="shared" si="38"/>
        <v>0</v>
      </c>
      <c r="J204" s="71">
        <f t="shared" si="38"/>
        <v>0</v>
      </c>
      <c r="K204" s="71">
        <f t="shared" si="38"/>
        <v>0</v>
      </c>
      <c r="L204" s="71">
        <f t="shared" si="38"/>
        <v>0</v>
      </c>
      <c r="M204" s="71">
        <f t="shared" si="38"/>
        <v>963419.61</v>
      </c>
      <c r="N204" s="71">
        <f t="shared" si="38"/>
        <v>0</v>
      </c>
      <c r="O204" s="71">
        <f t="shared" si="38"/>
        <v>0</v>
      </c>
      <c r="P204" s="71">
        <f t="shared" si="38"/>
        <v>-84797.040000000008</v>
      </c>
      <c r="Q204" s="71">
        <f t="shared" si="38"/>
        <v>0</v>
      </c>
      <c r="R204" s="71">
        <f t="shared" si="38"/>
        <v>0</v>
      </c>
      <c r="S204" s="71">
        <f t="shared" si="38"/>
        <v>878622.57</v>
      </c>
      <c r="T204" s="71"/>
      <c r="U204" s="71">
        <f>SUM(U198:U203)</f>
        <v>341784.17972999992</v>
      </c>
      <c r="V204" s="71">
        <f>SUM(V198:V203)</f>
        <v>0</v>
      </c>
      <c r="W204" s="91">
        <f>SUM(W198:W203)</f>
        <v>341784.17972999992</v>
      </c>
      <c r="Z204" s="11">
        <f t="shared" si="37"/>
        <v>0</v>
      </c>
    </row>
    <row r="205" spans="1:26">
      <c r="A205" s="59"/>
      <c r="B205" s="59"/>
      <c r="C205" s="65"/>
      <c r="D205" s="65"/>
      <c r="E205" s="65"/>
      <c r="F205" s="66"/>
      <c r="G205" s="56"/>
      <c r="H205" s="56"/>
      <c r="I205" s="56"/>
      <c r="J205" s="56"/>
      <c r="K205" s="56"/>
      <c r="L205" s="56"/>
      <c r="M205" s="73" t="str">
        <f>IF(SUM(G204:L204)=M204,"CF","ERROR CF")</f>
        <v>CF</v>
      </c>
      <c r="N205" s="56"/>
      <c r="O205" s="56"/>
      <c r="P205" s="56"/>
      <c r="Q205" s="56"/>
      <c r="R205" s="56"/>
      <c r="S205" s="73" t="str">
        <f>IF(SUM(M204:R204)=S204,"CF","ERROR CF")</f>
        <v>CF</v>
      </c>
      <c r="T205" s="56"/>
      <c r="U205" s="56"/>
      <c r="V205" s="56"/>
      <c r="W205" s="64"/>
      <c r="Z205" s="11"/>
    </row>
    <row r="206" spans="1:26" ht="15">
      <c r="A206" s="307" t="s">
        <v>322</v>
      </c>
      <c r="B206" s="307"/>
      <c r="C206" s="307"/>
      <c r="D206" s="307"/>
      <c r="E206" s="307"/>
      <c r="F206" s="84"/>
      <c r="G206" s="56"/>
      <c r="H206" s="56"/>
      <c r="I206" s="56"/>
      <c r="J206" s="56"/>
      <c r="K206" s="56"/>
      <c r="L206" s="56"/>
      <c r="M206" s="73"/>
      <c r="N206" s="56"/>
      <c r="O206" s="56"/>
      <c r="P206" s="56"/>
      <c r="Q206" s="56"/>
      <c r="R206" s="56"/>
      <c r="S206" s="73"/>
      <c r="T206" s="56"/>
      <c r="U206" s="56"/>
      <c r="V206" s="56"/>
      <c r="W206" s="64"/>
      <c r="Z206" s="11"/>
    </row>
    <row r="207" spans="1:26">
      <c r="A207" s="89" t="s">
        <v>323</v>
      </c>
      <c r="B207" s="75" t="s">
        <v>741</v>
      </c>
      <c r="C207" s="54">
        <v>900300</v>
      </c>
      <c r="D207" s="54" t="s">
        <v>324</v>
      </c>
      <c r="E207" s="54" t="s">
        <v>325</v>
      </c>
      <c r="F207" s="79" t="s">
        <v>326</v>
      </c>
      <c r="G207" s="61">
        <v>57166001.394603059</v>
      </c>
      <c r="H207" s="56">
        <v>-55932079</v>
      </c>
      <c r="I207" s="56"/>
      <c r="J207" s="56">
        <v>0</v>
      </c>
      <c r="K207" s="56">
        <v>0</v>
      </c>
      <c r="L207" s="56">
        <v>0</v>
      </c>
      <c r="M207" s="61">
        <f t="shared" ref="M207:M217" si="39">SUM(G207:L207)</f>
        <v>1233922.3946030587</v>
      </c>
      <c r="N207" s="112">
        <v>0</v>
      </c>
      <c r="O207" s="56">
        <v>0</v>
      </c>
      <c r="P207" s="58">
        <v>0</v>
      </c>
      <c r="Q207" s="58">
        <v>0</v>
      </c>
      <c r="R207" s="58">
        <f>-42560/0.35</f>
        <v>-121600.00000000001</v>
      </c>
      <c r="S207" s="61">
        <f t="shared" ref="S207:S212" si="40">SUM(M207:R207)</f>
        <v>1112322.3946030587</v>
      </c>
      <c r="T207" s="56"/>
      <c r="U207" s="63">
        <f t="shared" ref="U207:U217" si="41">S207*G$305</f>
        <v>389312.83811107051</v>
      </c>
      <c r="V207" s="93" t="s">
        <v>60</v>
      </c>
      <c r="W207" s="64">
        <f t="shared" ref="W207:W217" si="42">U207</f>
        <v>389312.83811107051</v>
      </c>
      <c r="Z207" s="11">
        <f t="shared" ref="Z207:Z218" si="43">SUM(M207:R207)-S207</f>
        <v>0</v>
      </c>
    </row>
    <row r="208" spans="1:26">
      <c r="A208" s="18"/>
      <c r="B208" s="58" t="s">
        <v>327</v>
      </c>
      <c r="D208" s="54" t="s">
        <v>324</v>
      </c>
      <c r="E208" s="54" t="s">
        <v>325</v>
      </c>
      <c r="F208" s="84"/>
      <c r="G208" s="61">
        <v>0</v>
      </c>
      <c r="H208" s="56">
        <v>0</v>
      </c>
      <c r="I208" s="56"/>
      <c r="J208" s="56">
        <v>0</v>
      </c>
      <c r="K208" s="56">
        <v>0</v>
      </c>
      <c r="L208" s="56">
        <v>0</v>
      </c>
      <c r="M208" s="61">
        <f t="shared" si="39"/>
        <v>0</v>
      </c>
      <c r="N208" s="56">
        <v>0</v>
      </c>
      <c r="O208" s="56">
        <v>0</v>
      </c>
      <c r="P208" s="58">
        <v>0</v>
      </c>
      <c r="Q208" s="58">
        <v>0</v>
      </c>
      <c r="R208" s="58">
        <v>0</v>
      </c>
      <c r="S208" s="61">
        <f t="shared" si="40"/>
        <v>0</v>
      </c>
      <c r="T208" s="56"/>
      <c r="U208" s="63">
        <f t="shared" si="41"/>
        <v>0</v>
      </c>
      <c r="V208" s="93" t="s">
        <v>60</v>
      </c>
      <c r="W208" s="64">
        <f t="shared" si="42"/>
        <v>0</v>
      </c>
      <c r="Z208" s="11">
        <f t="shared" si="43"/>
        <v>0</v>
      </c>
    </row>
    <row r="209" spans="1:26">
      <c r="A209" s="89" t="s">
        <v>328</v>
      </c>
      <c r="B209" s="58" t="s">
        <v>329</v>
      </c>
      <c r="D209" s="74" t="s">
        <v>324</v>
      </c>
      <c r="E209" s="54" t="s">
        <v>330</v>
      </c>
      <c r="F209" s="84"/>
      <c r="G209" s="61">
        <v>309628</v>
      </c>
      <c r="H209" s="56">
        <v>141211</v>
      </c>
      <c r="I209" s="56"/>
      <c r="J209" s="56">
        <v>0</v>
      </c>
      <c r="K209" s="56">
        <v>0</v>
      </c>
      <c r="L209" s="56">
        <v>0</v>
      </c>
      <c r="M209" s="61">
        <f t="shared" si="39"/>
        <v>450839</v>
      </c>
      <c r="N209" s="56">
        <v>0</v>
      </c>
      <c r="O209" s="56">
        <v>0</v>
      </c>
      <c r="P209" s="58">
        <v>0</v>
      </c>
      <c r="Q209" s="58">
        <v>0</v>
      </c>
      <c r="R209" s="58">
        <v>0</v>
      </c>
      <c r="S209" s="61">
        <f t="shared" si="40"/>
        <v>450839</v>
      </c>
      <c r="T209" s="56"/>
      <c r="U209" s="63">
        <f t="shared" si="41"/>
        <v>157793.65</v>
      </c>
      <c r="V209" s="93" t="s">
        <v>60</v>
      </c>
      <c r="W209" s="64">
        <f t="shared" si="42"/>
        <v>157793.65</v>
      </c>
      <c r="Z209" s="11">
        <f t="shared" si="43"/>
        <v>0</v>
      </c>
    </row>
    <row r="210" spans="1:26">
      <c r="A210" s="74" t="s">
        <v>86</v>
      </c>
      <c r="B210" s="75" t="s">
        <v>8</v>
      </c>
      <c r="D210" s="54" t="s">
        <v>324</v>
      </c>
      <c r="E210" s="54" t="s">
        <v>325</v>
      </c>
      <c r="F210" s="84"/>
      <c r="G210" s="61">
        <v>0</v>
      </c>
      <c r="H210" s="56">
        <v>0</v>
      </c>
      <c r="I210" s="56"/>
      <c r="J210" s="56">
        <v>0</v>
      </c>
      <c r="K210" s="56">
        <v>0</v>
      </c>
      <c r="L210" s="56">
        <v>0</v>
      </c>
      <c r="M210" s="61">
        <f t="shared" si="39"/>
        <v>0</v>
      </c>
      <c r="N210" s="56">
        <v>0</v>
      </c>
      <c r="O210" s="56">
        <v>0</v>
      </c>
      <c r="P210" s="58">
        <v>0</v>
      </c>
      <c r="Q210" s="58">
        <v>0</v>
      </c>
      <c r="R210" s="58">
        <v>0</v>
      </c>
      <c r="S210" s="61">
        <f t="shared" si="40"/>
        <v>0</v>
      </c>
      <c r="T210" s="56"/>
      <c r="U210" s="63">
        <f t="shared" si="41"/>
        <v>0</v>
      </c>
      <c r="V210" s="93" t="s">
        <v>60</v>
      </c>
      <c r="W210" s="64">
        <f t="shared" si="42"/>
        <v>0</v>
      </c>
      <c r="Z210" s="11">
        <f t="shared" si="43"/>
        <v>0</v>
      </c>
    </row>
    <row r="211" spans="1:26">
      <c r="A211" s="74" t="s">
        <v>86</v>
      </c>
      <c r="B211" s="75" t="s">
        <v>8</v>
      </c>
      <c r="D211" s="54" t="s">
        <v>324</v>
      </c>
      <c r="E211" s="54" t="s">
        <v>325</v>
      </c>
      <c r="F211" s="84"/>
      <c r="G211" s="61">
        <v>0</v>
      </c>
      <c r="H211" s="56">
        <v>0</v>
      </c>
      <c r="I211" s="56"/>
      <c r="J211" s="56">
        <v>0</v>
      </c>
      <c r="K211" s="56">
        <v>0</v>
      </c>
      <c r="L211" s="56">
        <v>0</v>
      </c>
      <c r="M211" s="61">
        <f t="shared" si="39"/>
        <v>0</v>
      </c>
      <c r="N211" s="56">
        <v>0</v>
      </c>
      <c r="O211" s="56">
        <v>0</v>
      </c>
      <c r="P211" s="58">
        <v>0</v>
      </c>
      <c r="Q211" s="58">
        <v>0</v>
      </c>
      <c r="R211" s="58">
        <v>0</v>
      </c>
      <c r="S211" s="61">
        <f t="shared" si="40"/>
        <v>0</v>
      </c>
      <c r="T211" s="56"/>
      <c r="U211" s="63">
        <f t="shared" si="41"/>
        <v>0</v>
      </c>
      <c r="V211" s="93" t="s">
        <v>60</v>
      </c>
      <c r="W211" s="64">
        <f t="shared" si="42"/>
        <v>0</v>
      </c>
      <c r="Z211" s="11">
        <f t="shared" si="43"/>
        <v>0</v>
      </c>
    </row>
    <row r="212" spans="1:26">
      <c r="A212" s="74" t="s">
        <v>86</v>
      </c>
      <c r="B212" s="75"/>
      <c r="D212" s="54" t="s">
        <v>324</v>
      </c>
      <c r="E212" s="54" t="s">
        <v>325</v>
      </c>
      <c r="F212" s="84"/>
      <c r="G212" s="61">
        <v>0</v>
      </c>
      <c r="H212" s="56">
        <v>0</v>
      </c>
      <c r="I212" s="56"/>
      <c r="J212" s="56">
        <v>0</v>
      </c>
      <c r="K212" s="56">
        <v>0</v>
      </c>
      <c r="L212" s="56">
        <v>0</v>
      </c>
      <c r="M212" s="61">
        <f t="shared" si="39"/>
        <v>0</v>
      </c>
      <c r="N212" s="56"/>
      <c r="O212" s="56">
        <v>0</v>
      </c>
      <c r="P212" s="58">
        <v>0</v>
      </c>
      <c r="Q212" s="58">
        <v>0</v>
      </c>
      <c r="R212" s="58">
        <v>0</v>
      </c>
      <c r="S212" s="61">
        <f t="shared" si="40"/>
        <v>0</v>
      </c>
      <c r="T212" s="56"/>
      <c r="U212" s="63">
        <f t="shared" si="41"/>
        <v>0</v>
      </c>
      <c r="V212" s="93" t="s">
        <v>60</v>
      </c>
      <c r="W212" s="64">
        <f t="shared" si="42"/>
        <v>0</v>
      </c>
      <c r="Z212" s="11">
        <f t="shared" si="43"/>
        <v>0</v>
      </c>
    </row>
    <row r="213" spans="1:26">
      <c r="A213" s="74"/>
      <c r="B213" s="75" t="s">
        <v>331</v>
      </c>
      <c r="E213" s="54" t="s">
        <v>95</v>
      </c>
      <c r="F213" s="84"/>
      <c r="G213" s="61">
        <v>0</v>
      </c>
      <c r="H213" s="56">
        <v>0</v>
      </c>
      <c r="I213" s="56"/>
      <c r="J213" s="56">
        <v>0</v>
      </c>
      <c r="K213" s="56">
        <v>0</v>
      </c>
      <c r="L213" s="56">
        <v>0</v>
      </c>
      <c r="M213" s="61">
        <f t="shared" si="39"/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61">
        <f>SUM(M213:R213)</f>
        <v>0</v>
      </c>
      <c r="T213" s="56"/>
      <c r="U213" s="63">
        <f t="shared" si="41"/>
        <v>0</v>
      </c>
      <c r="V213" s="93" t="s">
        <v>60</v>
      </c>
      <c r="W213" s="64">
        <f t="shared" si="42"/>
        <v>0</v>
      </c>
      <c r="Z213" s="11"/>
    </row>
    <row r="214" spans="1:26">
      <c r="A214" s="74"/>
      <c r="B214" s="75" t="s">
        <v>332</v>
      </c>
      <c r="E214" s="54" t="s">
        <v>325</v>
      </c>
      <c r="F214" s="84"/>
      <c r="G214" s="61">
        <v>0</v>
      </c>
      <c r="H214" s="56">
        <v>0</v>
      </c>
      <c r="I214" s="56"/>
      <c r="J214" s="56">
        <v>0</v>
      </c>
      <c r="K214" s="56">
        <v>0</v>
      </c>
      <c r="L214" s="56">
        <v>0</v>
      </c>
      <c r="M214" s="61">
        <f t="shared" si="39"/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61">
        <f>SUM(M214:R214)</f>
        <v>0</v>
      </c>
      <c r="T214" s="56"/>
      <c r="U214" s="63">
        <f t="shared" si="41"/>
        <v>0</v>
      </c>
      <c r="V214" s="93" t="s">
        <v>60</v>
      </c>
      <c r="W214" s="64">
        <f t="shared" si="42"/>
        <v>0</v>
      </c>
      <c r="Z214" s="11"/>
    </row>
    <row r="215" spans="1:26">
      <c r="A215" s="74"/>
      <c r="B215" s="75" t="s">
        <v>333</v>
      </c>
      <c r="E215" s="54" t="s">
        <v>325</v>
      </c>
      <c r="F215" s="84"/>
      <c r="G215" s="61">
        <v>0</v>
      </c>
      <c r="H215" s="56">
        <v>0</v>
      </c>
      <c r="I215" s="56"/>
      <c r="J215" s="58">
        <f>-891924</f>
        <v>-891924</v>
      </c>
      <c r="K215" s="56">
        <v>241920</v>
      </c>
      <c r="L215" s="56"/>
      <c r="M215" s="61">
        <f t="shared" si="39"/>
        <v>-650004</v>
      </c>
      <c r="N215" s="56"/>
      <c r="O215" s="56"/>
      <c r="P215" s="56"/>
      <c r="Q215" s="56"/>
      <c r="R215" s="56"/>
      <c r="S215" s="61">
        <f>SUM(M215:R215)</f>
        <v>-650004</v>
      </c>
      <c r="T215" s="56"/>
      <c r="U215" s="63">
        <f>S215*G$305</f>
        <v>-227501.4</v>
      </c>
      <c r="V215" s="93" t="s">
        <v>60</v>
      </c>
      <c r="W215" s="64">
        <f>U215</f>
        <v>-227501.4</v>
      </c>
      <c r="Z215" s="11"/>
    </row>
    <row r="216" spans="1:26">
      <c r="A216" s="74"/>
      <c r="B216" s="75" t="s">
        <v>334</v>
      </c>
      <c r="E216" s="54" t="s">
        <v>335</v>
      </c>
      <c r="F216" s="84"/>
      <c r="G216" s="61">
        <v>274359</v>
      </c>
      <c r="H216" s="56">
        <v>0</v>
      </c>
      <c r="I216" s="56"/>
      <c r="J216" s="56">
        <f>53834</f>
        <v>53834</v>
      </c>
      <c r="K216" s="56">
        <v>-42259</v>
      </c>
      <c r="L216" s="56"/>
      <c r="M216" s="61">
        <f t="shared" si="39"/>
        <v>285934</v>
      </c>
      <c r="N216" s="56"/>
      <c r="O216" s="56"/>
      <c r="P216" s="56"/>
      <c r="Q216" s="56"/>
      <c r="R216" s="56">
        <v>-12287</v>
      </c>
      <c r="S216" s="61">
        <f>SUM(M216:R216)</f>
        <v>273647</v>
      </c>
      <c r="T216" s="56"/>
      <c r="U216" s="63">
        <f>S216*G$305</f>
        <v>95776.45</v>
      </c>
      <c r="V216" s="93" t="s">
        <v>60</v>
      </c>
      <c r="W216" s="64">
        <f>U216</f>
        <v>95776.45</v>
      </c>
      <c r="Z216" s="11"/>
    </row>
    <row r="217" spans="1:26">
      <c r="A217" s="74"/>
      <c r="B217" s="75" t="s">
        <v>98</v>
      </c>
      <c r="F217" s="84"/>
      <c r="G217" s="56">
        <v>0</v>
      </c>
      <c r="H217" s="56">
        <v>0</v>
      </c>
      <c r="I217" s="56"/>
      <c r="J217" s="56">
        <v>0</v>
      </c>
      <c r="K217" s="56">
        <v>0</v>
      </c>
      <c r="L217" s="56">
        <v>0</v>
      </c>
      <c r="M217" s="61">
        <f t="shared" si="39"/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61">
        <f>SUM(M217:R217)</f>
        <v>0</v>
      </c>
      <c r="T217" s="56"/>
      <c r="U217" s="63">
        <f t="shared" si="41"/>
        <v>0</v>
      </c>
      <c r="V217" s="93" t="s">
        <v>60</v>
      </c>
      <c r="W217" s="64">
        <f t="shared" si="42"/>
        <v>0</v>
      </c>
      <c r="Z217" s="11"/>
    </row>
    <row r="218" spans="1:26">
      <c r="A218" s="68" t="s">
        <v>336</v>
      </c>
      <c r="B218" s="68"/>
      <c r="C218" s="69"/>
      <c r="D218" s="69"/>
      <c r="E218" s="69"/>
      <c r="F218" s="70" t="s">
        <v>337</v>
      </c>
      <c r="G218" s="71">
        <f t="shared" ref="G218:S218" si="44">SUM(G207:G217)</f>
        <v>57749988.394603059</v>
      </c>
      <c r="H218" s="71">
        <f t="shared" si="44"/>
        <v>-55790868</v>
      </c>
      <c r="I218" s="71">
        <f t="shared" si="44"/>
        <v>0</v>
      </c>
      <c r="J218" s="71">
        <f t="shared" si="44"/>
        <v>-838090</v>
      </c>
      <c r="K218" s="71">
        <f t="shared" si="44"/>
        <v>199661</v>
      </c>
      <c r="L218" s="71">
        <f t="shared" si="44"/>
        <v>0</v>
      </c>
      <c r="M218" s="71">
        <f t="shared" si="44"/>
        <v>1320691.3946030587</v>
      </c>
      <c r="N218" s="71">
        <f t="shared" si="44"/>
        <v>0</v>
      </c>
      <c r="O218" s="71">
        <f t="shared" si="44"/>
        <v>0</v>
      </c>
      <c r="P218" s="71">
        <f t="shared" si="44"/>
        <v>0</v>
      </c>
      <c r="Q218" s="71">
        <f t="shared" si="44"/>
        <v>0</v>
      </c>
      <c r="R218" s="71">
        <f t="shared" si="44"/>
        <v>-133887</v>
      </c>
      <c r="S218" s="71">
        <f t="shared" si="44"/>
        <v>1186804.3946030587</v>
      </c>
      <c r="T218" s="71"/>
      <c r="U218" s="71">
        <f>SUM(U207:U217)</f>
        <v>415381.53811107046</v>
      </c>
      <c r="V218" s="71">
        <f>SUM(V207:V217)</f>
        <v>0</v>
      </c>
      <c r="W218" s="71">
        <f>SUM(W207:W217)</f>
        <v>415381.53811107046</v>
      </c>
      <c r="Z218" s="11">
        <f t="shared" si="43"/>
        <v>0</v>
      </c>
    </row>
    <row r="219" spans="1:26" ht="15">
      <c r="A219" s="18"/>
      <c r="B219" s="58"/>
      <c r="F219" s="84"/>
      <c r="G219" s="56"/>
      <c r="H219" s="56"/>
      <c r="I219" s="56"/>
      <c r="J219" s="56"/>
      <c r="K219" s="56"/>
      <c r="L219" s="56"/>
      <c r="M219" s="73" t="str">
        <f>IF(SUM(G218:L218)=M218,"CF","ERROR CF")</f>
        <v>CF</v>
      </c>
      <c r="N219" s="56"/>
      <c r="O219" s="56"/>
      <c r="P219" s="56"/>
      <c r="Q219" s="56"/>
      <c r="R219" s="56"/>
      <c r="S219" s="73" t="str">
        <f>IF(SUM(M218:R218)=S218,"CF","ERROR CF")</f>
        <v>CF</v>
      </c>
      <c r="T219" s="56"/>
      <c r="U219" s="304" t="s">
        <v>338</v>
      </c>
      <c r="V219" s="304"/>
      <c r="W219" s="304"/>
      <c r="Z219" s="11"/>
    </row>
    <row r="220" spans="1:26" ht="15">
      <c r="A220" s="307" t="s">
        <v>8</v>
      </c>
      <c r="B220" s="307"/>
      <c r="C220" s="307"/>
      <c r="D220" s="307"/>
      <c r="E220" s="307"/>
      <c r="F220" s="84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64"/>
      <c r="Z220" s="11"/>
    </row>
    <row r="221" spans="1:26">
      <c r="A221" s="18">
        <v>64</v>
      </c>
      <c r="B221" s="58" t="s">
        <v>339</v>
      </c>
      <c r="D221" s="54" t="s">
        <v>76</v>
      </c>
      <c r="E221" s="54" t="s">
        <v>95</v>
      </c>
      <c r="F221" s="79" t="s">
        <v>340</v>
      </c>
      <c r="G221" s="61">
        <v>0</v>
      </c>
      <c r="H221" s="56">
        <v>0</v>
      </c>
      <c r="I221" s="56"/>
      <c r="J221" s="56">
        <v>0</v>
      </c>
      <c r="K221" s="56">
        <v>0</v>
      </c>
      <c r="L221" s="56">
        <v>0</v>
      </c>
      <c r="M221" s="61">
        <f t="shared" ref="M221:M228" si="45">SUM(G221:L221)</f>
        <v>0</v>
      </c>
      <c r="N221" s="56">
        <v>0</v>
      </c>
      <c r="O221" s="56">
        <v>0</v>
      </c>
      <c r="P221" s="58">
        <v>0</v>
      </c>
      <c r="Q221" s="58">
        <v>0</v>
      </c>
      <c r="R221" s="58">
        <v>0</v>
      </c>
      <c r="S221" s="61">
        <f t="shared" ref="S221:S228" si="46">SUM(M221:R221)</f>
        <v>0</v>
      </c>
      <c r="T221" s="56"/>
      <c r="U221" s="63">
        <f t="shared" ref="U221:U228" si="47">IF(S221&gt;0,S221*$G$308,0)</f>
        <v>0</v>
      </c>
      <c r="V221" s="56">
        <f t="shared" ref="V221:V228" si="48">IF(S221&lt;0,-S221*$G$308,0)</f>
        <v>0</v>
      </c>
      <c r="W221" s="64">
        <f t="shared" ref="W221:W228" si="49">U221-V221</f>
        <v>0</v>
      </c>
      <c r="Z221" s="11">
        <f>SUM(M221:R221)-S221</f>
        <v>0</v>
      </c>
    </row>
    <row r="222" spans="1:26">
      <c r="A222" s="74" t="s">
        <v>86</v>
      </c>
      <c r="B222" s="75" t="s">
        <v>341</v>
      </c>
      <c r="E222" s="54" t="s">
        <v>95</v>
      </c>
      <c r="F222" s="84"/>
      <c r="G222" s="61">
        <v>880843.01318319084</v>
      </c>
      <c r="H222" s="56">
        <v>0</v>
      </c>
      <c r="I222" s="56"/>
      <c r="J222" s="58">
        <f>-880843</f>
        <v>-880843</v>
      </c>
      <c r="K222" s="56">
        <v>0</v>
      </c>
      <c r="L222" s="56">
        <v>0</v>
      </c>
      <c r="M222" s="61">
        <f t="shared" si="45"/>
        <v>1.3183190836571157E-2</v>
      </c>
      <c r="N222" s="56">
        <v>0</v>
      </c>
      <c r="O222" s="56">
        <v>0</v>
      </c>
      <c r="P222" s="58">
        <v>0</v>
      </c>
      <c r="Q222" s="58">
        <v>0</v>
      </c>
      <c r="R222" s="58">
        <v>0</v>
      </c>
      <c r="S222" s="61">
        <f t="shared" si="46"/>
        <v>1.3183190836571157E-2</v>
      </c>
      <c r="T222" s="56"/>
      <c r="U222" s="63">
        <f t="shared" si="47"/>
        <v>5.1282612354261797E-3</v>
      </c>
      <c r="V222" s="56">
        <f t="shared" si="48"/>
        <v>0</v>
      </c>
      <c r="W222" s="64">
        <f t="shared" si="49"/>
        <v>5.1282612354261797E-3</v>
      </c>
      <c r="Z222" s="11">
        <f>SUM(M222:R222)-S222</f>
        <v>0</v>
      </c>
    </row>
    <row r="223" spans="1:26">
      <c r="A223" s="74" t="s">
        <v>86</v>
      </c>
      <c r="B223" s="75" t="s">
        <v>342</v>
      </c>
      <c r="D223" s="54" t="s">
        <v>343</v>
      </c>
      <c r="E223" s="54" t="s">
        <v>192</v>
      </c>
      <c r="F223" s="84"/>
      <c r="G223" s="61">
        <v>0</v>
      </c>
      <c r="H223" s="56">
        <v>0</v>
      </c>
      <c r="I223" s="56"/>
      <c r="J223" s="56">
        <v>0</v>
      </c>
      <c r="K223" s="56">
        <v>0</v>
      </c>
      <c r="L223" s="56">
        <v>0</v>
      </c>
      <c r="M223" s="61">
        <f t="shared" si="45"/>
        <v>0</v>
      </c>
      <c r="N223" s="56">
        <v>0</v>
      </c>
      <c r="O223" s="56">
        <v>0</v>
      </c>
      <c r="P223" s="58">
        <v>0</v>
      </c>
      <c r="Q223" s="58">
        <v>0</v>
      </c>
      <c r="R223" s="58">
        <v>0</v>
      </c>
      <c r="S223" s="61">
        <f t="shared" si="46"/>
        <v>0</v>
      </c>
      <c r="T223" s="56"/>
      <c r="U223" s="63">
        <f t="shared" si="47"/>
        <v>0</v>
      </c>
      <c r="V223" s="56">
        <f t="shared" si="48"/>
        <v>0</v>
      </c>
      <c r="W223" s="64">
        <f t="shared" si="49"/>
        <v>0</v>
      </c>
      <c r="Z223" s="11">
        <f>SUM(M223:R223)-S223</f>
        <v>0</v>
      </c>
    </row>
    <row r="224" spans="1:26">
      <c r="A224" s="74" t="s">
        <v>86</v>
      </c>
      <c r="B224" s="75" t="s">
        <v>344</v>
      </c>
      <c r="D224" s="54" t="s">
        <v>345</v>
      </c>
      <c r="E224" s="54" t="s">
        <v>345</v>
      </c>
      <c r="F224" s="84"/>
      <c r="G224" s="61">
        <v>0</v>
      </c>
      <c r="H224" s="56">
        <v>0</v>
      </c>
      <c r="I224" s="56"/>
      <c r="J224" s="56">
        <v>0</v>
      </c>
      <c r="K224" s="56">
        <v>0</v>
      </c>
      <c r="L224" s="56">
        <v>0</v>
      </c>
      <c r="M224" s="61">
        <f t="shared" si="45"/>
        <v>0</v>
      </c>
      <c r="N224" s="56">
        <v>0</v>
      </c>
      <c r="O224" s="56">
        <v>0</v>
      </c>
      <c r="P224" s="58">
        <v>0</v>
      </c>
      <c r="Q224" s="58">
        <v>0</v>
      </c>
      <c r="R224" s="58">
        <v>0</v>
      </c>
      <c r="S224" s="61">
        <f t="shared" si="46"/>
        <v>0</v>
      </c>
      <c r="T224" s="56"/>
      <c r="U224" s="63">
        <f t="shared" si="47"/>
        <v>0</v>
      </c>
      <c r="V224" s="56">
        <f t="shared" si="48"/>
        <v>0</v>
      </c>
      <c r="W224" s="64">
        <f t="shared" si="49"/>
        <v>0</v>
      </c>
      <c r="Z224" s="11">
        <f>SUM(M224:R224)-S224</f>
        <v>0</v>
      </c>
    </row>
    <row r="225" spans="1:26">
      <c r="A225" s="74"/>
      <c r="B225" s="75" t="s">
        <v>346</v>
      </c>
      <c r="E225" s="54" t="s">
        <v>347</v>
      </c>
      <c r="F225" s="84"/>
      <c r="G225" s="61">
        <v>0</v>
      </c>
      <c r="H225" s="56">
        <v>0</v>
      </c>
      <c r="I225" s="56"/>
      <c r="J225" s="56">
        <v>0</v>
      </c>
      <c r="K225" s="56">
        <v>0</v>
      </c>
      <c r="L225" s="56">
        <v>0</v>
      </c>
      <c r="M225" s="61">
        <f t="shared" si="45"/>
        <v>0</v>
      </c>
      <c r="N225" s="56">
        <v>0</v>
      </c>
      <c r="O225" s="56">
        <v>0</v>
      </c>
      <c r="P225" s="58">
        <v>0</v>
      </c>
      <c r="Q225" s="58">
        <v>0</v>
      </c>
      <c r="R225" s="58">
        <v>0</v>
      </c>
      <c r="S225" s="61">
        <f t="shared" si="46"/>
        <v>0</v>
      </c>
      <c r="T225" s="56"/>
      <c r="U225" s="63">
        <f t="shared" si="47"/>
        <v>0</v>
      </c>
      <c r="V225" s="56">
        <f t="shared" si="48"/>
        <v>0</v>
      </c>
      <c r="W225" s="64">
        <f t="shared" si="49"/>
        <v>0</v>
      </c>
      <c r="Z225" s="11"/>
    </row>
    <row r="226" spans="1:26">
      <c r="A226" s="74"/>
      <c r="B226" s="75" t="s">
        <v>348</v>
      </c>
      <c r="E226" s="54" t="s">
        <v>345</v>
      </c>
      <c r="F226" s="84"/>
      <c r="G226" s="61">
        <v>0</v>
      </c>
      <c r="H226" s="56">
        <v>0</v>
      </c>
      <c r="I226" s="56"/>
      <c r="J226" s="56">
        <v>0</v>
      </c>
      <c r="K226" s="56">
        <v>0</v>
      </c>
      <c r="L226" s="56">
        <v>0</v>
      </c>
      <c r="M226" s="61">
        <f t="shared" si="45"/>
        <v>0</v>
      </c>
      <c r="N226" s="56">
        <f>-N225</f>
        <v>0</v>
      </c>
      <c r="O226" s="56">
        <v>0</v>
      </c>
      <c r="P226" s="58">
        <v>0</v>
      </c>
      <c r="Q226" s="58">
        <v>0</v>
      </c>
      <c r="R226" s="58">
        <v>0</v>
      </c>
      <c r="S226" s="61">
        <f t="shared" si="46"/>
        <v>0</v>
      </c>
      <c r="T226" s="56"/>
      <c r="U226" s="63">
        <f t="shared" si="47"/>
        <v>0</v>
      </c>
      <c r="V226" s="56">
        <f t="shared" si="48"/>
        <v>0</v>
      </c>
      <c r="W226" s="64">
        <f t="shared" si="49"/>
        <v>0</v>
      </c>
      <c r="Z226" s="11"/>
    </row>
    <row r="227" spans="1:26">
      <c r="A227" s="74"/>
      <c r="B227" s="75" t="s">
        <v>8</v>
      </c>
      <c r="E227" s="54" t="s">
        <v>192</v>
      </c>
      <c r="F227" s="84"/>
      <c r="G227" s="61">
        <v>0</v>
      </c>
      <c r="H227" s="56">
        <v>0</v>
      </c>
      <c r="I227" s="56"/>
      <c r="J227" s="56">
        <v>0</v>
      </c>
      <c r="K227" s="56">
        <v>0</v>
      </c>
      <c r="L227" s="56">
        <v>0</v>
      </c>
      <c r="M227" s="61">
        <f t="shared" si="45"/>
        <v>0</v>
      </c>
      <c r="N227" s="56">
        <v>0</v>
      </c>
      <c r="O227" s="56">
        <v>0</v>
      </c>
      <c r="P227" s="58">
        <v>0</v>
      </c>
      <c r="Q227" s="58">
        <v>0</v>
      </c>
      <c r="R227" s="58">
        <v>0</v>
      </c>
      <c r="S227" s="61">
        <f t="shared" si="46"/>
        <v>0</v>
      </c>
      <c r="T227" s="56"/>
      <c r="U227" s="63">
        <f t="shared" si="47"/>
        <v>0</v>
      </c>
      <c r="V227" s="56">
        <f t="shared" si="48"/>
        <v>0</v>
      </c>
      <c r="W227" s="64">
        <f t="shared" si="49"/>
        <v>0</v>
      </c>
      <c r="Z227" s="11"/>
    </row>
    <row r="228" spans="1:26">
      <c r="A228" s="74"/>
      <c r="B228" s="75" t="s">
        <v>98</v>
      </c>
      <c r="F228" s="84"/>
      <c r="G228" s="61">
        <v>0</v>
      </c>
      <c r="H228" s="56">
        <v>0</v>
      </c>
      <c r="I228" s="56"/>
      <c r="J228" s="56">
        <v>0</v>
      </c>
      <c r="K228" s="56">
        <v>0</v>
      </c>
      <c r="L228" s="56">
        <v>0</v>
      </c>
      <c r="M228" s="61">
        <f t="shared" si="45"/>
        <v>0</v>
      </c>
      <c r="N228" s="56">
        <v>0</v>
      </c>
      <c r="O228" s="56">
        <v>0</v>
      </c>
      <c r="P228" s="58">
        <v>0</v>
      </c>
      <c r="Q228" s="58">
        <v>0</v>
      </c>
      <c r="R228" s="58">
        <v>0</v>
      </c>
      <c r="S228" s="61">
        <f t="shared" si="46"/>
        <v>0</v>
      </c>
      <c r="T228" s="56"/>
      <c r="U228" s="63">
        <f t="shared" si="47"/>
        <v>0</v>
      </c>
      <c r="V228" s="56">
        <f t="shared" si="48"/>
        <v>0</v>
      </c>
      <c r="W228" s="64">
        <f t="shared" si="49"/>
        <v>0</v>
      </c>
      <c r="Z228" s="11"/>
    </row>
    <row r="229" spans="1:26">
      <c r="A229" s="68" t="s">
        <v>349</v>
      </c>
      <c r="B229" s="68"/>
      <c r="C229" s="69"/>
      <c r="D229" s="69"/>
      <c r="E229" s="69"/>
      <c r="F229" s="70" t="s">
        <v>350</v>
      </c>
      <c r="G229" s="71">
        <f t="shared" ref="G229:S229" si="50">SUM(G220:G228)</f>
        <v>880843.01318319084</v>
      </c>
      <c r="H229" s="71">
        <f t="shared" si="50"/>
        <v>0</v>
      </c>
      <c r="I229" s="71">
        <f t="shared" si="50"/>
        <v>0</v>
      </c>
      <c r="J229" s="71">
        <f t="shared" si="50"/>
        <v>-880843</v>
      </c>
      <c r="K229" s="71">
        <f t="shared" si="50"/>
        <v>0</v>
      </c>
      <c r="L229" s="71">
        <f t="shared" si="50"/>
        <v>0</v>
      </c>
      <c r="M229" s="71">
        <f t="shared" si="50"/>
        <v>1.3183190836571157E-2</v>
      </c>
      <c r="N229" s="71">
        <f t="shared" si="50"/>
        <v>0</v>
      </c>
      <c r="O229" s="71">
        <f t="shared" si="50"/>
        <v>0</v>
      </c>
      <c r="P229" s="71">
        <f t="shared" si="50"/>
        <v>0</v>
      </c>
      <c r="Q229" s="71">
        <f t="shared" si="50"/>
        <v>0</v>
      </c>
      <c r="R229" s="71">
        <f t="shared" si="50"/>
        <v>0</v>
      </c>
      <c r="S229" s="71">
        <f t="shared" si="50"/>
        <v>1.3183190836571157E-2</v>
      </c>
      <c r="T229" s="71"/>
      <c r="U229" s="71">
        <f>SUM(U220:U228)</f>
        <v>5.1282612354261797E-3</v>
      </c>
      <c r="V229" s="71">
        <f>SUM(V220:V228)</f>
        <v>0</v>
      </c>
      <c r="W229" s="71">
        <f>SUM(W220:W228)</f>
        <v>5.1282612354261797E-3</v>
      </c>
      <c r="Z229" s="11">
        <f>SUM(M229:R229)-S229</f>
        <v>0</v>
      </c>
    </row>
    <row r="230" spans="1:26">
      <c r="A230" s="74"/>
      <c r="B230" s="75"/>
      <c r="F230" s="84"/>
      <c r="G230" s="56"/>
      <c r="H230" s="56"/>
      <c r="I230" s="56"/>
      <c r="J230" s="56"/>
      <c r="K230" s="56"/>
      <c r="L230" s="56"/>
      <c r="M230" s="73" t="str">
        <f>IF(SUM(G229:L229)=M229,"CF","ERROR CF")</f>
        <v>CF</v>
      </c>
      <c r="N230" s="56"/>
      <c r="O230" s="56"/>
      <c r="P230" s="56"/>
      <c r="Q230" s="56"/>
      <c r="R230" s="56"/>
      <c r="S230" s="73" t="str">
        <f>IF(SUM(M229:R229)=S229,"CF","ERROR CF")</f>
        <v>CF</v>
      </c>
      <c r="T230" s="56"/>
      <c r="U230" s="56"/>
      <c r="V230" s="56"/>
      <c r="W230" s="64"/>
      <c r="Z230" s="11"/>
    </row>
    <row r="231" spans="1:26" ht="15">
      <c r="A231" s="307" t="s">
        <v>351</v>
      </c>
      <c r="B231" s="307"/>
      <c r="C231" s="307"/>
      <c r="D231" s="307"/>
      <c r="E231" s="307"/>
      <c r="F231" s="8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64"/>
      <c r="Z231" s="11"/>
    </row>
    <row r="232" spans="1:26">
      <c r="A232" s="74" t="s">
        <v>86</v>
      </c>
      <c r="B232" s="75" t="s">
        <v>352</v>
      </c>
      <c r="D232" s="54" t="s">
        <v>324</v>
      </c>
      <c r="E232" s="54" t="s">
        <v>353</v>
      </c>
      <c r="F232" s="79" t="s">
        <v>354</v>
      </c>
      <c r="G232" s="61">
        <v>0</v>
      </c>
      <c r="H232" s="56">
        <v>0</v>
      </c>
      <c r="I232" s="56"/>
      <c r="J232" s="56">
        <v>0</v>
      </c>
      <c r="K232" s="56">
        <v>0</v>
      </c>
      <c r="L232" s="56">
        <v>0</v>
      </c>
      <c r="M232" s="61">
        <f t="shared" ref="M232:M239" si="51">SUM(G232:L232)</f>
        <v>0</v>
      </c>
      <c r="N232" s="183">
        <v>0</v>
      </c>
      <c r="O232" s="56">
        <v>0</v>
      </c>
      <c r="P232" s="58">
        <v>0</v>
      </c>
      <c r="Q232" s="58">
        <v>0</v>
      </c>
      <c r="R232" s="58">
        <v>0</v>
      </c>
      <c r="S232" s="61">
        <f t="shared" ref="S232:S239" si="52">SUM(M232:R232)</f>
        <v>0</v>
      </c>
      <c r="T232" s="56"/>
      <c r="U232" s="63">
        <f t="shared" ref="U232:U239" si="53">S232*G$306*(1-G$305)</f>
        <v>0</v>
      </c>
      <c r="V232" s="93" t="s">
        <v>60</v>
      </c>
      <c r="W232" s="64">
        <f t="shared" ref="W232:W239" si="54">U232</f>
        <v>0</v>
      </c>
      <c r="Z232" s="11">
        <f>SUM(M232:R232)-S232</f>
        <v>0</v>
      </c>
    </row>
    <row r="233" spans="1:26">
      <c r="A233" s="74" t="s">
        <v>86</v>
      </c>
      <c r="B233" s="75" t="s">
        <v>355</v>
      </c>
      <c r="D233" s="54" t="s">
        <v>324</v>
      </c>
      <c r="E233" s="54" t="s">
        <v>356</v>
      </c>
      <c r="F233" s="84"/>
      <c r="G233" s="61">
        <v>165135</v>
      </c>
      <c r="H233" s="56">
        <v>141211</v>
      </c>
      <c r="I233" s="56"/>
      <c r="J233" s="56">
        <v>0</v>
      </c>
      <c r="K233" s="56">
        <v>0</v>
      </c>
      <c r="L233" s="56">
        <v>0</v>
      </c>
      <c r="M233" s="61">
        <f t="shared" si="51"/>
        <v>306346</v>
      </c>
      <c r="N233" s="56">
        <v>0</v>
      </c>
      <c r="O233" s="56">
        <v>0</v>
      </c>
      <c r="P233" s="58">
        <v>0</v>
      </c>
      <c r="Q233" s="58">
        <v>0</v>
      </c>
      <c r="R233" s="58">
        <v>0</v>
      </c>
      <c r="S233" s="61">
        <f t="shared" si="52"/>
        <v>306346</v>
      </c>
      <c r="T233" s="56"/>
      <c r="U233" s="63">
        <f t="shared" si="53"/>
        <v>11947.493999999999</v>
      </c>
      <c r="V233" s="93" t="s">
        <v>60</v>
      </c>
      <c r="W233" s="64">
        <f t="shared" si="54"/>
        <v>11947.493999999999</v>
      </c>
      <c r="Z233" s="11">
        <f>SUM(M233:R233)-S233</f>
        <v>0</v>
      </c>
    </row>
    <row r="234" spans="1:26">
      <c r="A234" s="74" t="s">
        <v>86</v>
      </c>
      <c r="B234" s="75" t="s">
        <v>357</v>
      </c>
      <c r="D234" s="54" t="s">
        <v>93</v>
      </c>
      <c r="E234" s="54" t="s">
        <v>358</v>
      </c>
      <c r="F234" s="84"/>
      <c r="G234" s="61">
        <v>132464546.20301223</v>
      </c>
      <c r="H234" s="56">
        <v>-109343020</v>
      </c>
      <c r="I234" s="56"/>
      <c r="J234" s="56">
        <v>0</v>
      </c>
      <c r="K234" s="56">
        <v>0</v>
      </c>
      <c r="L234" s="56">
        <v>0</v>
      </c>
      <c r="M234" s="61">
        <f t="shared" si="51"/>
        <v>23121526.203012228</v>
      </c>
      <c r="N234" s="56">
        <v>-993013.1400000006</v>
      </c>
      <c r="O234" s="56">
        <v>0</v>
      </c>
      <c r="P234" s="58">
        <v>0</v>
      </c>
      <c r="Q234" s="58">
        <v>0</v>
      </c>
      <c r="R234" s="58">
        <v>0</v>
      </c>
      <c r="S234" s="61">
        <f t="shared" si="52"/>
        <v>22128513.063012227</v>
      </c>
      <c r="T234" s="56"/>
      <c r="U234" s="63">
        <f t="shared" si="53"/>
        <v>863012.0094574769</v>
      </c>
      <c r="V234" s="93" t="s">
        <v>60</v>
      </c>
      <c r="W234" s="64">
        <f t="shared" si="54"/>
        <v>863012.0094574769</v>
      </c>
      <c r="Z234" s="11">
        <f>SUM(M234:R234)-S234</f>
        <v>0</v>
      </c>
    </row>
    <row r="235" spans="1:26">
      <c r="A235" s="74" t="s">
        <v>86</v>
      </c>
      <c r="B235" s="75" t="s">
        <v>8</v>
      </c>
      <c r="D235" s="54" t="s">
        <v>324</v>
      </c>
      <c r="E235" s="54" t="s">
        <v>359</v>
      </c>
      <c r="F235" s="84"/>
      <c r="G235" s="61">
        <v>0</v>
      </c>
      <c r="H235" s="56">
        <v>0</v>
      </c>
      <c r="I235" s="56"/>
      <c r="J235" s="56">
        <v>0</v>
      </c>
      <c r="K235" s="56">
        <v>0</v>
      </c>
      <c r="L235" s="56">
        <v>0</v>
      </c>
      <c r="M235" s="61">
        <f t="shared" si="51"/>
        <v>0</v>
      </c>
      <c r="N235" s="56">
        <v>0</v>
      </c>
      <c r="O235" s="56">
        <v>0</v>
      </c>
      <c r="P235" s="58">
        <v>0</v>
      </c>
      <c r="Q235" s="58">
        <v>0</v>
      </c>
      <c r="R235" s="58">
        <v>0</v>
      </c>
      <c r="S235" s="61">
        <f t="shared" si="52"/>
        <v>0</v>
      </c>
      <c r="T235" s="56"/>
      <c r="U235" s="63">
        <f t="shared" si="53"/>
        <v>0</v>
      </c>
      <c r="V235" s="93" t="s">
        <v>60</v>
      </c>
      <c r="W235" s="64">
        <f t="shared" si="54"/>
        <v>0</v>
      </c>
      <c r="Z235" s="11">
        <f>SUM(M235:R235)-S235</f>
        <v>0</v>
      </c>
    </row>
    <row r="236" spans="1:26">
      <c r="A236" s="74"/>
      <c r="B236" s="75" t="s">
        <v>360</v>
      </c>
      <c r="E236" s="54" t="s">
        <v>358</v>
      </c>
      <c r="F236" s="84"/>
      <c r="G236" s="61">
        <v>0</v>
      </c>
      <c r="H236" s="62">
        <v>0</v>
      </c>
      <c r="I236" s="56"/>
      <c r="J236" s="62">
        <v>0</v>
      </c>
      <c r="K236" s="56">
        <v>0</v>
      </c>
      <c r="L236" s="56">
        <v>0</v>
      </c>
      <c r="M236" s="61">
        <f t="shared" si="51"/>
        <v>0</v>
      </c>
      <c r="N236" s="56">
        <v>0</v>
      </c>
      <c r="O236" s="56">
        <v>0</v>
      </c>
      <c r="P236" s="58">
        <v>0</v>
      </c>
      <c r="Q236" s="58">
        <v>0</v>
      </c>
      <c r="R236" s="58">
        <v>0</v>
      </c>
      <c r="S236" s="61">
        <f t="shared" si="52"/>
        <v>0</v>
      </c>
      <c r="T236" s="56"/>
      <c r="U236" s="63">
        <f t="shared" si="53"/>
        <v>0</v>
      </c>
      <c r="V236" s="93" t="s">
        <v>60</v>
      </c>
      <c r="W236" s="64">
        <f t="shared" si="54"/>
        <v>0</v>
      </c>
      <c r="Z236" s="11"/>
    </row>
    <row r="237" spans="1:26">
      <c r="A237" s="74"/>
      <c r="B237" s="75" t="s">
        <v>361</v>
      </c>
      <c r="E237" s="54" t="s">
        <v>359</v>
      </c>
      <c r="F237" s="84"/>
      <c r="G237" s="61">
        <v>0</v>
      </c>
      <c r="H237" s="62">
        <v>0</v>
      </c>
      <c r="I237" s="56"/>
      <c r="J237" s="62">
        <v>0</v>
      </c>
      <c r="K237" s="56">
        <v>0</v>
      </c>
      <c r="L237" s="56">
        <v>0</v>
      </c>
      <c r="M237" s="61">
        <f t="shared" si="51"/>
        <v>0</v>
      </c>
      <c r="N237" s="56">
        <v>0</v>
      </c>
      <c r="O237" s="56">
        <v>0</v>
      </c>
      <c r="P237" s="58">
        <v>0</v>
      </c>
      <c r="Q237" s="58">
        <v>0</v>
      </c>
      <c r="R237" s="58">
        <v>0</v>
      </c>
      <c r="S237" s="61">
        <f t="shared" si="52"/>
        <v>0</v>
      </c>
      <c r="T237" s="56"/>
      <c r="U237" s="63">
        <f t="shared" si="53"/>
        <v>0</v>
      </c>
      <c r="V237" s="93" t="s">
        <v>60</v>
      </c>
      <c r="W237" s="64">
        <f t="shared" si="54"/>
        <v>0</v>
      </c>
      <c r="Z237" s="11"/>
    </row>
    <row r="238" spans="1:26">
      <c r="A238" s="74"/>
      <c r="B238" s="75" t="s">
        <v>362</v>
      </c>
      <c r="E238" s="54" t="s">
        <v>353</v>
      </c>
      <c r="F238" s="84"/>
      <c r="G238" s="61">
        <v>0</v>
      </c>
      <c r="H238" s="62">
        <v>0</v>
      </c>
      <c r="I238" s="56"/>
      <c r="J238" s="62">
        <v>0</v>
      </c>
      <c r="K238" s="56">
        <v>0</v>
      </c>
      <c r="L238" s="56">
        <v>0</v>
      </c>
      <c r="M238" s="61">
        <f t="shared" si="51"/>
        <v>0</v>
      </c>
      <c r="N238" s="56">
        <v>0</v>
      </c>
      <c r="O238" s="56">
        <v>0</v>
      </c>
      <c r="P238" s="58">
        <v>0</v>
      </c>
      <c r="Q238" s="58">
        <v>0</v>
      </c>
      <c r="R238" s="58">
        <v>0</v>
      </c>
      <c r="S238" s="61">
        <f t="shared" si="52"/>
        <v>0</v>
      </c>
      <c r="T238" s="56"/>
      <c r="U238" s="63">
        <f t="shared" si="53"/>
        <v>0</v>
      </c>
      <c r="V238" s="93" t="s">
        <v>60</v>
      </c>
      <c r="W238" s="64">
        <f t="shared" si="54"/>
        <v>0</v>
      </c>
      <c r="Z238" s="11"/>
    </row>
    <row r="239" spans="1:26">
      <c r="A239" s="74"/>
      <c r="B239" s="75" t="s">
        <v>98</v>
      </c>
      <c r="F239" s="84"/>
      <c r="G239" s="61">
        <v>0</v>
      </c>
      <c r="H239" s="62">
        <v>0</v>
      </c>
      <c r="I239" s="56"/>
      <c r="J239" s="62">
        <v>0</v>
      </c>
      <c r="K239" s="56">
        <v>0</v>
      </c>
      <c r="L239" s="56">
        <v>0</v>
      </c>
      <c r="M239" s="61">
        <f t="shared" si="51"/>
        <v>0</v>
      </c>
      <c r="N239" s="56">
        <v>0</v>
      </c>
      <c r="O239" s="56">
        <v>0</v>
      </c>
      <c r="P239" s="58">
        <v>0</v>
      </c>
      <c r="Q239" s="58">
        <v>0</v>
      </c>
      <c r="R239" s="58">
        <v>0</v>
      </c>
      <c r="S239" s="61">
        <f t="shared" si="52"/>
        <v>0</v>
      </c>
      <c r="T239" s="56"/>
      <c r="U239" s="63">
        <f t="shared" si="53"/>
        <v>0</v>
      </c>
      <c r="V239" s="93" t="s">
        <v>60</v>
      </c>
      <c r="W239" s="64">
        <f t="shared" si="54"/>
        <v>0</v>
      </c>
      <c r="Z239" s="11"/>
    </row>
    <row r="240" spans="1:26">
      <c r="A240" s="68" t="s">
        <v>349</v>
      </c>
      <c r="B240" s="68"/>
      <c r="C240" s="69"/>
      <c r="D240" s="69"/>
      <c r="E240" s="69"/>
      <c r="F240" s="70" t="s">
        <v>363</v>
      </c>
      <c r="G240" s="71">
        <f>SUM(G231:G239)</f>
        <v>132629681.20301223</v>
      </c>
      <c r="H240" s="71">
        <f t="shared" ref="H240:S240" si="55">SUM(H231:H239)</f>
        <v>-109201809</v>
      </c>
      <c r="I240" s="71">
        <f t="shared" si="55"/>
        <v>0</v>
      </c>
      <c r="J240" s="71">
        <f t="shared" si="55"/>
        <v>0</v>
      </c>
      <c r="K240" s="71">
        <f t="shared" si="55"/>
        <v>0</v>
      </c>
      <c r="L240" s="71">
        <f t="shared" si="55"/>
        <v>0</v>
      </c>
      <c r="M240" s="71">
        <f t="shared" si="55"/>
        <v>23427872.203012228</v>
      </c>
      <c r="N240" s="71">
        <f t="shared" si="55"/>
        <v>-993013.1400000006</v>
      </c>
      <c r="O240" s="71">
        <f t="shared" si="55"/>
        <v>0</v>
      </c>
      <c r="P240" s="71">
        <f t="shared" si="55"/>
        <v>0</v>
      </c>
      <c r="Q240" s="71">
        <f t="shared" si="55"/>
        <v>0</v>
      </c>
      <c r="R240" s="71">
        <f t="shared" si="55"/>
        <v>0</v>
      </c>
      <c r="S240" s="71">
        <f t="shared" si="55"/>
        <v>22434859.063012227</v>
      </c>
      <c r="T240" s="71"/>
      <c r="U240" s="71">
        <f>SUM(U231:U239)</f>
        <v>874959.50345747685</v>
      </c>
      <c r="V240" s="71">
        <f>SUM(V231:V239)</f>
        <v>0</v>
      </c>
      <c r="W240" s="71">
        <f>SUM(W231:W239)</f>
        <v>874959.50345747685</v>
      </c>
      <c r="Z240" s="11">
        <f>SUM(M240:R240)-S240</f>
        <v>0</v>
      </c>
    </row>
    <row r="241" spans="1:26" ht="15">
      <c r="A241" s="59"/>
      <c r="B241" s="59"/>
      <c r="C241" s="65"/>
      <c r="D241" s="65"/>
      <c r="E241" s="65"/>
      <c r="F241" s="66"/>
      <c r="G241" s="56"/>
      <c r="H241" s="56"/>
      <c r="I241" s="56"/>
      <c r="J241" s="56"/>
      <c r="K241" s="56"/>
      <c r="L241" s="56"/>
      <c r="M241" s="73" t="str">
        <f>IF(SUM(G240:L240)=M240,"CF","ERROR CF")</f>
        <v>CF</v>
      </c>
      <c r="N241" s="56"/>
      <c r="O241" s="56"/>
      <c r="P241" s="56"/>
      <c r="Q241" s="56"/>
      <c r="R241" s="56"/>
      <c r="S241" s="73" t="str">
        <f>IF(SUM(M240:R240)=S240,"CF","ERROR CF")</f>
        <v>CF</v>
      </c>
      <c r="T241" s="56"/>
      <c r="U241" s="304" t="s">
        <v>364</v>
      </c>
      <c r="V241" s="304"/>
      <c r="W241" s="304"/>
      <c r="X241" s="11"/>
      <c r="Y241" s="94"/>
      <c r="Z241" s="11"/>
    </row>
    <row r="242" spans="1:26">
      <c r="A242" s="59"/>
      <c r="B242" s="59"/>
      <c r="C242" s="65"/>
      <c r="D242" s="65"/>
      <c r="E242" s="65"/>
      <c r="F242" s="6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64"/>
      <c r="Z242" s="11"/>
    </row>
    <row r="243" spans="1:26" ht="15">
      <c r="A243" s="304" t="s">
        <v>365</v>
      </c>
      <c r="B243" s="304"/>
      <c r="C243" s="304"/>
      <c r="D243" s="304"/>
      <c r="E243" s="304"/>
      <c r="F243" s="66"/>
      <c r="G243" s="56"/>
      <c r="H243" s="56"/>
      <c r="I243" s="56"/>
      <c r="J243" s="56"/>
      <c r="K243" s="56"/>
      <c r="L243" s="56"/>
      <c r="N243" s="56"/>
      <c r="O243" s="56"/>
      <c r="P243" s="56"/>
      <c r="Q243" s="56"/>
      <c r="R243" s="56"/>
      <c r="T243" s="56"/>
      <c r="U243" s="56"/>
      <c r="V243" s="56"/>
      <c r="W243" s="64"/>
      <c r="Z243" s="11"/>
    </row>
    <row r="244" spans="1:26">
      <c r="A244" s="59" t="s">
        <v>366</v>
      </c>
      <c r="B244" s="59"/>
      <c r="C244" s="65"/>
      <c r="D244" s="65"/>
      <c r="E244" s="65"/>
      <c r="F244" s="66" t="s">
        <v>367</v>
      </c>
      <c r="G244" s="95">
        <f t="shared" ref="G244:S244" si="56">G32+G175+G195+G204+G229+G240</f>
        <v>-110642085.83920878</v>
      </c>
      <c r="H244" s="61">
        <f t="shared" si="56"/>
        <v>-6641674</v>
      </c>
      <c r="I244" s="61">
        <f t="shared" si="56"/>
        <v>0</v>
      </c>
      <c r="J244" s="61">
        <f t="shared" si="56"/>
        <v>673233.5758354757</v>
      </c>
      <c r="K244" s="61">
        <f t="shared" si="56"/>
        <v>-704304</v>
      </c>
      <c r="L244" s="61">
        <f t="shared" si="56"/>
        <v>0</v>
      </c>
      <c r="M244" s="61">
        <f t="shared" si="56"/>
        <v>-117314830.26337323</v>
      </c>
      <c r="N244" s="61">
        <f t="shared" si="56"/>
        <v>-14643226.675682915</v>
      </c>
      <c r="O244" s="61">
        <f t="shared" si="56"/>
        <v>277767.02999999997</v>
      </c>
      <c r="P244" s="61">
        <f t="shared" si="56"/>
        <v>-84797.040000000008</v>
      </c>
      <c r="Q244" s="61">
        <f t="shared" si="56"/>
        <v>0</v>
      </c>
      <c r="R244" s="61">
        <f t="shared" si="56"/>
        <v>-204788</v>
      </c>
      <c r="S244" s="61">
        <f t="shared" si="56"/>
        <v>-131969874.94905613</v>
      </c>
      <c r="T244" s="56"/>
      <c r="U244" s="56"/>
      <c r="V244" s="56"/>
      <c r="W244" s="64"/>
      <c r="Z244" s="11">
        <f>SUM(M244:R244)-S244</f>
        <v>0</v>
      </c>
    </row>
    <row r="245" spans="1:26">
      <c r="A245" s="59" t="s">
        <v>368</v>
      </c>
      <c r="B245" s="59"/>
      <c r="C245" s="65"/>
      <c r="D245" s="65"/>
      <c r="E245" s="65"/>
      <c r="F245" s="66" t="s">
        <v>369</v>
      </c>
      <c r="G245" s="96">
        <f>$H306</f>
        <v>0.06</v>
      </c>
      <c r="H245" s="97">
        <f>$H306</f>
        <v>0.06</v>
      </c>
      <c r="I245" s="97">
        <f>I306</f>
        <v>0</v>
      </c>
      <c r="J245" s="97">
        <f>$H306</f>
        <v>0.06</v>
      </c>
      <c r="K245" s="97">
        <f t="shared" ref="K245:S245" si="57">$G306</f>
        <v>0.06</v>
      </c>
      <c r="L245" s="97">
        <f t="shared" si="57"/>
        <v>0.06</v>
      </c>
      <c r="M245" s="97">
        <f t="shared" si="57"/>
        <v>0.06</v>
      </c>
      <c r="N245" s="97">
        <f t="shared" si="57"/>
        <v>0.06</v>
      </c>
      <c r="O245" s="97">
        <f t="shared" si="57"/>
        <v>0.06</v>
      </c>
      <c r="P245" s="97">
        <f t="shared" si="57"/>
        <v>0.06</v>
      </c>
      <c r="Q245" s="97">
        <f t="shared" si="57"/>
        <v>0.06</v>
      </c>
      <c r="R245" s="97">
        <f t="shared" si="57"/>
        <v>0.06</v>
      </c>
      <c r="S245" s="97">
        <f t="shared" si="57"/>
        <v>0.06</v>
      </c>
      <c r="T245" s="56"/>
      <c r="U245" s="56"/>
      <c r="V245" s="56"/>
      <c r="W245" s="64"/>
      <c r="Z245" s="11"/>
    </row>
    <row r="246" spans="1:26">
      <c r="A246" s="98" t="s">
        <v>370</v>
      </c>
      <c r="B246" s="98"/>
      <c r="C246" s="99"/>
      <c r="D246" s="99"/>
      <c r="E246" s="99"/>
      <c r="F246" s="100" t="s">
        <v>371</v>
      </c>
      <c r="G246" s="101">
        <f>G244*G245</f>
        <v>-6638525.1503525265</v>
      </c>
      <c r="H246" s="101">
        <f>H244*H245</f>
        <v>-398500.44</v>
      </c>
      <c r="I246" s="101">
        <f>SUM(G244+H244+J244)*I245</f>
        <v>0</v>
      </c>
      <c r="J246" s="101">
        <f t="shared" ref="J246:S246" si="58">J244*J245</f>
        <v>40394.014550128537</v>
      </c>
      <c r="K246" s="101">
        <f t="shared" si="58"/>
        <v>-42258.239999999998</v>
      </c>
      <c r="L246" s="101">
        <f>L244*L245</f>
        <v>0</v>
      </c>
      <c r="M246" s="101">
        <f t="shared" si="58"/>
        <v>-7038889.8158023935</v>
      </c>
      <c r="N246" s="101">
        <f t="shared" si="58"/>
        <v>-878593.60054097488</v>
      </c>
      <c r="O246" s="101">
        <f t="shared" si="58"/>
        <v>16666.021799999999</v>
      </c>
      <c r="P246" s="101">
        <f t="shared" si="58"/>
        <v>-5087.8224</v>
      </c>
      <c r="Q246" s="101">
        <f t="shared" si="58"/>
        <v>0</v>
      </c>
      <c r="R246" s="101">
        <f t="shared" si="58"/>
        <v>-12287.279999999999</v>
      </c>
      <c r="S246" s="101">
        <f t="shared" si="58"/>
        <v>-7918192.4969433676</v>
      </c>
      <c r="T246" s="56"/>
      <c r="U246" s="56"/>
      <c r="V246" s="56"/>
      <c r="W246" s="64"/>
      <c r="Z246" s="11">
        <f>SUM(M246:R246)-S246</f>
        <v>0</v>
      </c>
    </row>
    <row r="247" spans="1:26">
      <c r="A247" s="59"/>
      <c r="B247" s="59"/>
      <c r="C247" s="65"/>
      <c r="D247" s="65"/>
      <c r="E247" s="65"/>
      <c r="F247" s="66"/>
      <c r="G247" s="56"/>
      <c r="H247" s="56"/>
      <c r="I247" s="102" t="s">
        <v>372</v>
      </c>
      <c r="J247" s="56"/>
      <c r="K247" s="103" t="s">
        <v>373</v>
      </c>
      <c r="L247" s="103" t="s">
        <v>374</v>
      </c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64"/>
      <c r="Z247" s="11"/>
    </row>
    <row r="248" spans="1:26" ht="15">
      <c r="A248" s="304" t="s">
        <v>375</v>
      </c>
      <c r="B248" s="304"/>
      <c r="C248" s="304"/>
      <c r="D248" s="304"/>
      <c r="E248" s="304"/>
      <c r="F248" s="6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64"/>
      <c r="Z248" s="11"/>
    </row>
    <row r="249" spans="1:26">
      <c r="A249" s="59" t="s">
        <v>376</v>
      </c>
      <c r="B249" s="59"/>
      <c r="C249" s="65"/>
      <c r="D249" s="65" t="s">
        <v>315</v>
      </c>
      <c r="E249" s="65" t="s">
        <v>316</v>
      </c>
      <c r="F249" s="79" t="s">
        <v>377</v>
      </c>
      <c r="G249" s="61">
        <v>0</v>
      </c>
      <c r="H249" s="62">
        <v>0</v>
      </c>
      <c r="I249" s="56"/>
      <c r="J249" s="62">
        <v>0</v>
      </c>
      <c r="K249" s="56">
        <v>0</v>
      </c>
      <c r="L249" s="56">
        <v>0</v>
      </c>
      <c r="M249" s="61">
        <f>SUM(G249:L249)</f>
        <v>0</v>
      </c>
      <c r="N249" s="56">
        <v>0</v>
      </c>
      <c r="O249" s="56">
        <v>0</v>
      </c>
      <c r="P249" s="58">
        <v>0</v>
      </c>
      <c r="Q249" s="58">
        <v>0</v>
      </c>
      <c r="R249" s="58">
        <v>0</v>
      </c>
      <c r="S249" s="61">
        <f>SUM(M249:R249)</f>
        <v>0</v>
      </c>
      <c r="T249" s="56"/>
      <c r="U249" s="63">
        <f>IF(S249&gt;0,S249*(1-G305),0)</f>
        <v>0</v>
      </c>
      <c r="V249" s="93" t="s">
        <v>60</v>
      </c>
      <c r="W249" s="64">
        <f>U249</f>
        <v>0</v>
      </c>
      <c r="Z249" s="11">
        <f>SUM(M249:R249)-S249</f>
        <v>0</v>
      </c>
    </row>
    <row r="250" spans="1:26">
      <c r="A250" s="59" t="s">
        <v>8</v>
      </c>
      <c r="B250" s="59"/>
      <c r="C250" s="65"/>
      <c r="D250" s="65" t="s">
        <v>324</v>
      </c>
      <c r="E250" s="65" t="s">
        <v>378</v>
      </c>
      <c r="F250" s="66"/>
      <c r="G250" s="61">
        <v>0</v>
      </c>
      <c r="H250" s="62">
        <v>0</v>
      </c>
      <c r="I250" s="56"/>
      <c r="J250" s="62">
        <v>0</v>
      </c>
      <c r="K250" s="56">
        <v>0</v>
      </c>
      <c r="L250" s="56">
        <v>0</v>
      </c>
      <c r="M250" s="61">
        <f>SUM(G250:L250)</f>
        <v>0</v>
      </c>
      <c r="N250" s="56">
        <v>0</v>
      </c>
      <c r="O250" s="56">
        <v>0</v>
      </c>
      <c r="P250" s="58">
        <v>0</v>
      </c>
      <c r="Q250" s="58">
        <v>0</v>
      </c>
      <c r="R250" s="58">
        <v>0</v>
      </c>
      <c r="S250" s="61">
        <f>SUM(M250:R250)</f>
        <v>0</v>
      </c>
      <c r="T250" s="56"/>
      <c r="U250" s="63">
        <f>IF(S250&gt;0,S250*$H$308,0)</f>
        <v>0</v>
      </c>
      <c r="V250" s="93">
        <v>0</v>
      </c>
      <c r="W250" s="64">
        <f>U250</f>
        <v>0</v>
      </c>
      <c r="Z250" s="11">
        <f>SUM(M250:R250)-S250</f>
        <v>0</v>
      </c>
    </row>
    <row r="251" spans="1:26">
      <c r="A251" s="59" t="s">
        <v>8</v>
      </c>
      <c r="B251" s="59"/>
      <c r="C251" s="65"/>
      <c r="D251" s="65" t="s">
        <v>324</v>
      </c>
      <c r="E251" s="65" t="s">
        <v>356</v>
      </c>
      <c r="F251" s="66"/>
      <c r="G251" s="61">
        <v>0</v>
      </c>
      <c r="H251" s="62">
        <v>0</v>
      </c>
      <c r="I251" s="56"/>
      <c r="J251" s="62">
        <v>0</v>
      </c>
      <c r="K251" s="56">
        <v>0</v>
      </c>
      <c r="L251" s="56">
        <v>0</v>
      </c>
      <c r="M251" s="61">
        <f>SUM(G251:L251)</f>
        <v>0</v>
      </c>
      <c r="N251" s="56">
        <v>0</v>
      </c>
      <c r="O251" s="56">
        <v>0</v>
      </c>
      <c r="P251" s="58">
        <v>0</v>
      </c>
      <c r="Q251" s="58">
        <v>0</v>
      </c>
      <c r="R251" s="58">
        <v>0</v>
      </c>
      <c r="S251" s="61">
        <f>SUM(M251:R251)</f>
        <v>0</v>
      </c>
      <c r="T251" s="56"/>
      <c r="U251" s="63">
        <f>IF(S251&gt;0,S251*$H$308,0)</f>
        <v>0</v>
      </c>
      <c r="V251" s="93" t="s">
        <v>60</v>
      </c>
      <c r="W251" s="64">
        <f>U251</f>
        <v>0</v>
      </c>
      <c r="Z251" s="11">
        <f>SUM(M251:R251)-S251</f>
        <v>0</v>
      </c>
    </row>
    <row r="252" spans="1:26">
      <c r="A252" s="59" t="s">
        <v>98</v>
      </c>
      <c r="B252" s="59"/>
      <c r="C252" s="65"/>
      <c r="D252" s="65"/>
      <c r="E252" s="65"/>
      <c r="F252" s="66"/>
      <c r="G252" s="61">
        <v>0</v>
      </c>
      <c r="H252" s="62">
        <v>0</v>
      </c>
      <c r="I252" s="56"/>
      <c r="J252" s="62">
        <v>0</v>
      </c>
      <c r="K252" s="56">
        <v>0</v>
      </c>
      <c r="L252" s="56">
        <v>0</v>
      </c>
      <c r="M252" s="61">
        <f>SUM(G252:L252)</f>
        <v>0</v>
      </c>
      <c r="N252" s="56">
        <v>0</v>
      </c>
      <c r="O252" s="56">
        <v>0</v>
      </c>
      <c r="P252" s="58">
        <v>0</v>
      </c>
      <c r="Q252" s="58">
        <v>0</v>
      </c>
      <c r="R252" s="58">
        <v>0</v>
      </c>
      <c r="S252" s="61">
        <f>SUM(M252:P252)</f>
        <v>0</v>
      </c>
      <c r="T252" s="56"/>
      <c r="U252" s="63">
        <f>IF(S252&gt;0,S252*$H$308,0)</f>
        <v>0</v>
      </c>
      <c r="V252" s="93" t="s">
        <v>60</v>
      </c>
      <c r="W252" s="64">
        <f>U252</f>
        <v>0</v>
      </c>
      <c r="Z252" s="11"/>
    </row>
    <row r="253" spans="1:26">
      <c r="A253" s="59" t="s">
        <v>98</v>
      </c>
      <c r="B253" s="59"/>
      <c r="C253" s="65"/>
      <c r="D253" s="65"/>
      <c r="E253" s="65"/>
      <c r="F253" s="66"/>
      <c r="G253" s="61">
        <v>0</v>
      </c>
      <c r="H253" s="62">
        <v>0</v>
      </c>
      <c r="I253" s="56"/>
      <c r="J253" s="62">
        <v>0</v>
      </c>
      <c r="K253" s="56">
        <v>0</v>
      </c>
      <c r="L253" s="56">
        <v>0</v>
      </c>
      <c r="M253" s="61">
        <f>SUM(G253:L253)</f>
        <v>0</v>
      </c>
      <c r="N253" s="56">
        <v>0</v>
      </c>
      <c r="O253" s="56">
        <v>0</v>
      </c>
      <c r="P253" s="58">
        <v>0</v>
      </c>
      <c r="Q253" s="58">
        <v>0</v>
      </c>
      <c r="R253" s="58">
        <v>0</v>
      </c>
      <c r="S253" s="61">
        <f>SUM(M253:P253)</f>
        <v>0</v>
      </c>
      <c r="T253" s="56"/>
      <c r="U253" s="63">
        <f>IF(S253&gt;0,S253*$H$308,0)</f>
        <v>0</v>
      </c>
      <c r="V253" s="93" t="s">
        <v>60</v>
      </c>
      <c r="W253" s="64">
        <f>U253</f>
        <v>0</v>
      </c>
      <c r="Z253" s="11"/>
    </row>
    <row r="254" spans="1:26">
      <c r="A254" s="68" t="s">
        <v>379</v>
      </c>
      <c r="B254" s="68"/>
      <c r="C254" s="69"/>
      <c r="D254" s="69"/>
      <c r="E254" s="69"/>
      <c r="F254" s="70" t="s">
        <v>380</v>
      </c>
      <c r="G254" s="71">
        <f>SUM(G249:G253)</f>
        <v>0</v>
      </c>
      <c r="H254" s="71">
        <f t="shared" ref="H254:S254" si="59">SUM(H249:H253)</f>
        <v>0</v>
      </c>
      <c r="I254" s="71">
        <f t="shared" si="59"/>
        <v>0</v>
      </c>
      <c r="J254" s="71">
        <f t="shared" si="59"/>
        <v>0</v>
      </c>
      <c r="K254" s="71">
        <f t="shared" si="59"/>
        <v>0</v>
      </c>
      <c r="L254" s="71">
        <f t="shared" si="59"/>
        <v>0</v>
      </c>
      <c r="M254" s="71">
        <f t="shared" si="59"/>
        <v>0</v>
      </c>
      <c r="N254" s="71">
        <f t="shared" si="59"/>
        <v>0</v>
      </c>
      <c r="O254" s="71">
        <f t="shared" si="59"/>
        <v>0</v>
      </c>
      <c r="P254" s="71">
        <f t="shared" si="59"/>
        <v>0</v>
      </c>
      <c r="Q254" s="71">
        <f t="shared" si="59"/>
        <v>0</v>
      </c>
      <c r="R254" s="71">
        <f t="shared" si="59"/>
        <v>0</v>
      </c>
      <c r="S254" s="71">
        <f t="shared" si="59"/>
        <v>0</v>
      </c>
      <c r="T254" s="56"/>
      <c r="U254" s="71">
        <f>SUM(U249:U253)</f>
        <v>0</v>
      </c>
      <c r="V254" s="71">
        <f>SUM(V249:V253)</f>
        <v>0</v>
      </c>
      <c r="W254" s="71">
        <f>SUM(W249:W253)</f>
        <v>0</v>
      </c>
      <c r="Z254" s="11">
        <f>SUM(M254:R254)-S254</f>
        <v>0</v>
      </c>
    </row>
    <row r="255" spans="1:26" ht="15">
      <c r="A255" s="59"/>
      <c r="B255" s="59"/>
      <c r="C255" s="65"/>
      <c r="D255" s="65"/>
      <c r="E255" s="65"/>
      <c r="F255" s="6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304" t="s">
        <v>381</v>
      </c>
      <c r="V255" s="304"/>
      <c r="W255" s="304"/>
      <c r="Z255" s="11"/>
    </row>
    <row r="256" spans="1:26">
      <c r="A256" s="59" t="s">
        <v>382</v>
      </c>
      <c r="B256" s="59"/>
      <c r="C256" s="65"/>
      <c r="D256" s="65"/>
      <c r="E256" s="65"/>
      <c r="F256" s="66"/>
      <c r="G256" s="56">
        <f t="shared" ref="G256:L256" si="60">G246+G254</f>
        <v>-6638525.1503525265</v>
      </c>
      <c r="H256" s="56">
        <f t="shared" si="60"/>
        <v>-398500.44</v>
      </c>
      <c r="I256" s="56">
        <f t="shared" si="60"/>
        <v>0</v>
      </c>
      <c r="J256" s="56">
        <f t="shared" si="60"/>
        <v>40394.014550128537</v>
      </c>
      <c r="K256" s="56">
        <f t="shared" si="60"/>
        <v>-42258.239999999998</v>
      </c>
      <c r="L256" s="56">
        <f t="shared" si="60"/>
        <v>0</v>
      </c>
      <c r="M256" s="61">
        <f>SUM(G256:L256)</f>
        <v>-7038889.8158023981</v>
      </c>
      <c r="N256" s="56">
        <f>N246+N254</f>
        <v>-878593.60054097488</v>
      </c>
      <c r="O256" s="56">
        <f>O246+O254</f>
        <v>16666.021799999999</v>
      </c>
      <c r="P256" s="56">
        <f>P246+P254</f>
        <v>-5087.8224</v>
      </c>
      <c r="Q256" s="56">
        <f>Q246+Q254</f>
        <v>0</v>
      </c>
      <c r="R256" s="56">
        <f>R246+R254</f>
        <v>-12287.279999999999</v>
      </c>
      <c r="S256" s="61">
        <f>SUM(M256:R256)</f>
        <v>-7918192.4969433732</v>
      </c>
      <c r="T256" s="56"/>
      <c r="U256" s="18"/>
      <c r="V256" s="18"/>
      <c r="W256" s="18"/>
      <c r="Z256" s="11"/>
    </row>
    <row r="257" spans="1:26">
      <c r="A257" s="59" t="s">
        <v>383</v>
      </c>
      <c r="B257" s="59"/>
      <c r="C257" s="65"/>
      <c r="D257" s="65"/>
      <c r="E257" s="65" t="s">
        <v>345</v>
      </c>
      <c r="F257" s="66"/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61">
        <f>SUM(G257:L257)</f>
        <v>0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61">
        <f>SUM(M257:R257)</f>
        <v>0</v>
      </c>
      <c r="T257" s="56"/>
      <c r="U257" s="63">
        <f>IF(S257&gt;0,S257*(1-$G$305),0)</f>
        <v>0</v>
      </c>
      <c r="V257" s="56">
        <f>IF(S257&lt;0,-S257*(1-$G$305),0)</f>
        <v>0</v>
      </c>
      <c r="W257" s="64">
        <f>U257-V257</f>
        <v>0</v>
      </c>
      <c r="Z257" s="11">
        <f>SUM(M257:R257)-S257</f>
        <v>0</v>
      </c>
    </row>
    <row r="258" spans="1:26">
      <c r="A258" s="98" t="s">
        <v>384</v>
      </c>
      <c r="B258" s="98"/>
      <c r="C258" s="99"/>
      <c r="D258" s="99"/>
      <c r="E258" s="99"/>
      <c r="F258" s="100"/>
      <c r="G258" s="101">
        <f t="shared" ref="G258:S258" si="61">SUM(G256:G257)</f>
        <v>-6638525.1503525265</v>
      </c>
      <c r="H258" s="101">
        <f t="shared" si="61"/>
        <v>-398500.44</v>
      </c>
      <c r="I258" s="101">
        <f t="shared" si="61"/>
        <v>0</v>
      </c>
      <c r="J258" s="101">
        <f t="shared" si="61"/>
        <v>40394.014550128537</v>
      </c>
      <c r="K258" s="101">
        <f t="shared" si="61"/>
        <v>-42258.239999999998</v>
      </c>
      <c r="L258" s="101">
        <f t="shared" si="61"/>
        <v>0</v>
      </c>
      <c r="M258" s="101">
        <f t="shared" si="61"/>
        <v>-7038889.8158023981</v>
      </c>
      <c r="N258" s="101">
        <f t="shared" si="61"/>
        <v>-878593.60054097488</v>
      </c>
      <c r="O258" s="101">
        <f t="shared" si="61"/>
        <v>16666.021799999999</v>
      </c>
      <c r="P258" s="101">
        <f t="shared" si="61"/>
        <v>-5087.8224</v>
      </c>
      <c r="Q258" s="101">
        <f t="shared" si="61"/>
        <v>0</v>
      </c>
      <c r="R258" s="101">
        <f t="shared" si="61"/>
        <v>-12287.279999999999</v>
      </c>
      <c r="S258" s="101">
        <f t="shared" si="61"/>
        <v>-7918192.4969433732</v>
      </c>
      <c r="T258" s="56"/>
      <c r="U258" s="71">
        <f>SUM(U257:U257)</f>
        <v>0</v>
      </c>
      <c r="V258" s="71">
        <f>SUM(V257:V257)</f>
        <v>0</v>
      </c>
      <c r="W258" s="71">
        <f>SUM(W257:W257)</f>
        <v>0</v>
      </c>
      <c r="Z258" s="11">
        <f>SUM(M258:R258)-S258</f>
        <v>0</v>
      </c>
    </row>
    <row r="259" spans="1:26">
      <c r="A259" s="59"/>
      <c r="B259" s="59"/>
      <c r="C259" s="65"/>
      <c r="D259" s="65"/>
      <c r="E259" s="65"/>
      <c r="F259" s="6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18"/>
      <c r="V259" s="18"/>
      <c r="W259" s="18"/>
      <c r="Z259" s="11"/>
    </row>
    <row r="260" spans="1:26">
      <c r="A260" s="59" t="s">
        <v>385</v>
      </c>
      <c r="B260" s="59"/>
      <c r="C260" s="65"/>
      <c r="D260" s="65"/>
      <c r="E260" s="65"/>
      <c r="F260" s="66" t="s">
        <v>386</v>
      </c>
      <c r="G260" s="56">
        <f t="shared" ref="G260:P260" si="62">G32+G175+G195+G204+G218+G229</f>
        <v>-185521778.64761794</v>
      </c>
      <c r="H260" s="56">
        <f t="shared" si="62"/>
        <v>46769267</v>
      </c>
      <c r="I260" s="56">
        <f t="shared" si="62"/>
        <v>0</v>
      </c>
      <c r="J260" s="56">
        <f t="shared" si="62"/>
        <v>-164856.4241645243</v>
      </c>
      <c r="K260" s="56">
        <f t="shared" si="62"/>
        <v>-504643</v>
      </c>
      <c r="L260" s="56">
        <f>L32+L175+L195+L204+L218+L229</f>
        <v>0</v>
      </c>
      <c r="M260" s="61">
        <f t="shared" si="62"/>
        <v>-139422011.07178241</v>
      </c>
      <c r="N260" s="56">
        <f t="shared" si="62"/>
        <v>-13650213.535682915</v>
      </c>
      <c r="O260" s="56">
        <f t="shared" si="62"/>
        <v>277767.02999999997</v>
      </c>
      <c r="P260" s="56">
        <f t="shared" si="62"/>
        <v>-84797.040000000008</v>
      </c>
      <c r="Q260" s="56"/>
      <c r="R260" s="56">
        <f>R32+R175+R195+R204+R218+R229</f>
        <v>-338675</v>
      </c>
      <c r="S260" s="56">
        <f>S32+S175+S195+S204+S218+S229</f>
        <v>-153217929.61746532</v>
      </c>
      <c r="T260" s="56"/>
      <c r="U260" s="56"/>
      <c r="V260" s="56"/>
      <c r="W260" s="64"/>
      <c r="Z260" s="11">
        <f>SUM(M260:R260)-S260</f>
        <v>0</v>
      </c>
    </row>
    <row r="261" spans="1:26">
      <c r="A261" s="59" t="s">
        <v>387</v>
      </c>
      <c r="B261" s="59"/>
      <c r="C261" s="65"/>
      <c r="D261" s="65"/>
      <c r="E261" s="65"/>
      <c r="F261" s="66" t="s">
        <v>388</v>
      </c>
      <c r="G261" s="56">
        <f>-G258</f>
        <v>6638525.1503525265</v>
      </c>
      <c r="H261" s="56">
        <f t="shared" ref="H261:S261" si="63">-H258</f>
        <v>398500.44</v>
      </c>
      <c r="I261" s="56">
        <f t="shared" si="63"/>
        <v>0</v>
      </c>
      <c r="J261" s="56">
        <f t="shared" si="63"/>
        <v>-40394.014550128537</v>
      </c>
      <c r="K261" s="56">
        <f t="shared" si="63"/>
        <v>42258.239999999998</v>
      </c>
      <c r="L261" s="56">
        <f t="shared" si="63"/>
        <v>0</v>
      </c>
      <c r="M261" s="61">
        <f t="shared" si="63"/>
        <v>7038889.8158023981</v>
      </c>
      <c r="N261" s="56">
        <f t="shared" si="63"/>
        <v>878593.60054097488</v>
      </c>
      <c r="O261" s="56">
        <f t="shared" si="63"/>
        <v>-16666.021799999999</v>
      </c>
      <c r="P261" s="56">
        <f t="shared" si="63"/>
        <v>5087.8224</v>
      </c>
      <c r="Q261" s="56">
        <f t="shared" si="63"/>
        <v>0</v>
      </c>
      <c r="R261" s="56">
        <f t="shared" si="63"/>
        <v>12287.279999999999</v>
      </c>
      <c r="S261" s="56">
        <f t="shared" si="63"/>
        <v>7918192.4969433732</v>
      </c>
      <c r="T261" s="56"/>
      <c r="U261" s="56"/>
      <c r="V261" s="56"/>
      <c r="W261" s="64"/>
      <c r="Z261" s="11">
        <f>SUM(M261:R261)-S261</f>
        <v>0</v>
      </c>
    </row>
    <row r="262" spans="1:26">
      <c r="A262" s="59" t="s">
        <v>389</v>
      </c>
      <c r="B262" s="59"/>
      <c r="C262" s="65"/>
      <c r="D262" s="65"/>
      <c r="E262" s="65"/>
      <c r="F262" s="66" t="s">
        <v>390</v>
      </c>
      <c r="G262" s="56">
        <f t="shared" ref="G262:P262" si="64">SUM(G260:G261)</f>
        <v>-178883253.4972654</v>
      </c>
      <c r="H262" s="56">
        <f t="shared" si="64"/>
        <v>47167767.439999998</v>
      </c>
      <c r="I262" s="56">
        <f t="shared" si="64"/>
        <v>0</v>
      </c>
      <c r="J262" s="56">
        <f t="shared" si="64"/>
        <v>-205250.43871465285</v>
      </c>
      <c r="K262" s="56">
        <f t="shared" si="64"/>
        <v>-462384.76</v>
      </c>
      <c r="L262" s="56">
        <f t="shared" si="64"/>
        <v>0</v>
      </c>
      <c r="M262" s="56">
        <f t="shared" si="64"/>
        <v>-132383121.25598001</v>
      </c>
      <c r="N262" s="56">
        <f t="shared" si="64"/>
        <v>-12771619.93514194</v>
      </c>
      <c r="O262" s="56">
        <f t="shared" si="64"/>
        <v>261101.00819999998</v>
      </c>
      <c r="P262" s="56">
        <f t="shared" si="64"/>
        <v>-79709.217600000004</v>
      </c>
      <c r="Q262" s="56"/>
      <c r="R262" s="56">
        <f>SUM(R260:R261)</f>
        <v>-326387.71999999997</v>
      </c>
      <c r="S262" s="56">
        <f>SUM(S260:S261)</f>
        <v>-145299737.12052193</v>
      </c>
      <c r="T262" s="56"/>
      <c r="U262" s="56"/>
      <c r="V262" s="56"/>
      <c r="W262" s="64"/>
      <c r="Z262" s="11">
        <f>SUM(M262:R262)-S262</f>
        <v>0</v>
      </c>
    </row>
    <row r="263" spans="1:26">
      <c r="A263" s="59" t="s">
        <v>391</v>
      </c>
      <c r="B263" s="59"/>
      <c r="C263" s="65"/>
      <c r="D263" s="65"/>
      <c r="E263" s="65"/>
      <c r="F263" s="66" t="s">
        <v>392</v>
      </c>
      <c r="G263" s="97">
        <f>$G305</f>
        <v>0.35</v>
      </c>
      <c r="H263" s="97">
        <f>$G305</f>
        <v>0.35</v>
      </c>
      <c r="I263" s="97">
        <v>0.35</v>
      </c>
      <c r="J263" s="97">
        <f t="shared" ref="J263:S263" si="65">$G305</f>
        <v>0.35</v>
      </c>
      <c r="K263" s="97">
        <f t="shared" si="65"/>
        <v>0.35</v>
      </c>
      <c r="L263" s="97">
        <f t="shared" si="65"/>
        <v>0.35</v>
      </c>
      <c r="M263" s="97">
        <f t="shared" si="65"/>
        <v>0.35</v>
      </c>
      <c r="N263" s="97">
        <f t="shared" si="65"/>
        <v>0.35</v>
      </c>
      <c r="O263" s="97">
        <f t="shared" si="65"/>
        <v>0.35</v>
      </c>
      <c r="P263" s="97">
        <f t="shared" si="65"/>
        <v>0.35</v>
      </c>
      <c r="Q263" s="97">
        <f t="shared" si="65"/>
        <v>0.35</v>
      </c>
      <c r="R263" s="97">
        <f t="shared" si="65"/>
        <v>0.35</v>
      </c>
      <c r="S263" s="97">
        <f t="shared" si="65"/>
        <v>0.35</v>
      </c>
      <c r="T263" s="56"/>
      <c r="U263" s="56"/>
      <c r="V263" s="56"/>
      <c r="W263" s="64"/>
      <c r="Z263" s="11"/>
    </row>
    <row r="264" spans="1:26">
      <c r="A264" s="98" t="s">
        <v>393</v>
      </c>
      <c r="B264" s="98"/>
      <c r="C264" s="99"/>
      <c r="D264" s="99"/>
      <c r="E264" s="99"/>
      <c r="F264" s="100" t="s">
        <v>394</v>
      </c>
      <c r="G264" s="101">
        <f t="shared" ref="G264:S264" si="66">G262*G263</f>
        <v>-62609138.724042885</v>
      </c>
      <c r="H264" s="101">
        <f t="shared" si="66"/>
        <v>16508718.603999998</v>
      </c>
      <c r="I264" s="101">
        <f t="shared" si="66"/>
        <v>0</v>
      </c>
      <c r="J264" s="101">
        <f t="shared" si="66"/>
        <v>-71837.653550128496</v>
      </c>
      <c r="K264" s="101">
        <f t="shared" si="66"/>
        <v>-161834.666</v>
      </c>
      <c r="L264" s="101">
        <f t="shared" si="66"/>
        <v>0</v>
      </c>
      <c r="M264" s="101">
        <f t="shared" si="66"/>
        <v>-46334092.439593002</v>
      </c>
      <c r="N264" s="101">
        <f t="shared" si="66"/>
        <v>-4470066.9772996781</v>
      </c>
      <c r="O264" s="101">
        <f t="shared" si="66"/>
        <v>91385.352869999988</v>
      </c>
      <c r="P264" s="101">
        <f t="shared" si="66"/>
        <v>-27898.226159999998</v>
      </c>
      <c r="Q264" s="101">
        <f t="shared" si="66"/>
        <v>0</v>
      </c>
      <c r="R264" s="101">
        <f t="shared" si="66"/>
        <v>-114235.70199999999</v>
      </c>
      <c r="S264" s="101">
        <f t="shared" si="66"/>
        <v>-50854907.992182672</v>
      </c>
      <c r="T264" s="56"/>
      <c r="U264" s="56"/>
      <c r="V264" s="56"/>
      <c r="W264" s="64"/>
      <c r="Z264" s="11">
        <f>SUM(M264:R264)-S264</f>
        <v>0</v>
      </c>
    </row>
    <row r="265" spans="1:26">
      <c r="A265" s="59"/>
      <c r="B265" s="59"/>
      <c r="C265" s="65"/>
      <c r="D265" s="65"/>
      <c r="E265" s="65"/>
      <c r="F265" s="66"/>
      <c r="G265" s="56"/>
      <c r="H265" s="56"/>
      <c r="I265" s="102" t="s">
        <v>395</v>
      </c>
      <c r="J265" s="56"/>
      <c r="K265" s="103" t="s">
        <v>396</v>
      </c>
      <c r="L265" s="103" t="s">
        <v>397</v>
      </c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64"/>
      <c r="Z265" s="11"/>
    </row>
    <row r="266" spans="1:26" ht="15">
      <c r="A266" s="304" t="s">
        <v>398</v>
      </c>
      <c r="B266" s="304"/>
      <c r="C266" s="304"/>
      <c r="D266" s="304"/>
      <c r="E266" s="304"/>
      <c r="F266" s="6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64"/>
      <c r="Z266" s="11"/>
    </row>
    <row r="267" spans="1:26">
      <c r="A267" s="74" t="s">
        <v>86</v>
      </c>
      <c r="B267" s="59" t="s">
        <v>399</v>
      </c>
      <c r="C267" s="65"/>
      <c r="D267" s="65" t="s">
        <v>324</v>
      </c>
      <c r="E267" s="65" t="s">
        <v>400</v>
      </c>
      <c r="F267" s="79" t="s">
        <v>401</v>
      </c>
      <c r="G267" s="61">
        <v>0</v>
      </c>
      <c r="H267" s="62">
        <v>0</v>
      </c>
      <c r="I267" s="56"/>
      <c r="J267" s="62">
        <v>0</v>
      </c>
      <c r="K267" s="56">
        <v>0</v>
      </c>
      <c r="L267" s="56">
        <v>0</v>
      </c>
      <c r="M267" s="61">
        <f>SUM(G267:L267)</f>
        <v>0</v>
      </c>
      <c r="N267" s="92">
        <v>0</v>
      </c>
      <c r="O267" s="56">
        <v>0</v>
      </c>
      <c r="P267" s="58">
        <v>0</v>
      </c>
      <c r="Q267" s="58">
        <v>0</v>
      </c>
      <c r="R267" s="58">
        <v>0</v>
      </c>
      <c r="S267" s="61">
        <f>SUM(M267:R267)</f>
        <v>0</v>
      </c>
      <c r="T267" s="56"/>
      <c r="U267" s="56">
        <f>S267</f>
        <v>0</v>
      </c>
      <c r="V267" s="93" t="s">
        <v>60</v>
      </c>
      <c r="W267" s="64">
        <f>U267</f>
        <v>0</v>
      </c>
      <c r="Z267" s="11">
        <f>SUM(M267:R267)-S267</f>
        <v>0</v>
      </c>
    </row>
    <row r="268" spans="1:26">
      <c r="A268" s="74" t="s">
        <v>86</v>
      </c>
      <c r="B268" s="59" t="s">
        <v>402</v>
      </c>
      <c r="C268" s="65"/>
      <c r="D268" s="65" t="s">
        <v>324</v>
      </c>
      <c r="E268" s="65" t="s">
        <v>403</v>
      </c>
      <c r="F268" s="66"/>
      <c r="G268" s="61">
        <v>16420</v>
      </c>
      <c r="H268" s="62">
        <v>4819</v>
      </c>
      <c r="I268" s="56"/>
      <c r="J268" s="62">
        <v>0</v>
      </c>
      <c r="K268" s="56">
        <v>0</v>
      </c>
      <c r="L268" s="56">
        <v>0</v>
      </c>
      <c r="M268" s="61">
        <f>SUM(G268:L268)</f>
        <v>21239</v>
      </c>
      <c r="N268" s="56">
        <v>0</v>
      </c>
      <c r="O268" s="56">
        <v>0</v>
      </c>
      <c r="P268" s="58">
        <v>0</v>
      </c>
      <c r="Q268" s="58">
        <v>0</v>
      </c>
      <c r="R268" s="58">
        <v>0</v>
      </c>
      <c r="S268" s="61">
        <f>SUM(M268:R268)</f>
        <v>21239</v>
      </c>
      <c r="T268" s="56"/>
      <c r="U268" s="56">
        <f>S268</f>
        <v>21239</v>
      </c>
      <c r="V268" s="93" t="s">
        <v>60</v>
      </c>
      <c r="W268" s="64">
        <f>U268</f>
        <v>21239</v>
      </c>
      <c r="Z268" s="11">
        <f>SUM(M268:R268)-S268</f>
        <v>0</v>
      </c>
    </row>
    <row r="269" spans="1:26">
      <c r="A269" s="74" t="s">
        <v>86</v>
      </c>
      <c r="B269" s="61" t="s">
        <v>404</v>
      </c>
      <c r="C269" s="65"/>
      <c r="D269" s="65" t="s">
        <v>324</v>
      </c>
      <c r="E269" s="65" t="s">
        <v>400</v>
      </c>
      <c r="F269" s="66"/>
      <c r="G269" s="61">
        <v>0</v>
      </c>
      <c r="H269" s="62">
        <v>0</v>
      </c>
      <c r="I269" s="56"/>
      <c r="J269" s="62">
        <v>0</v>
      </c>
      <c r="K269" s="56">
        <v>0</v>
      </c>
      <c r="L269" s="56">
        <v>0</v>
      </c>
      <c r="M269" s="61">
        <f>SUM(G269:L269)</f>
        <v>0</v>
      </c>
      <c r="N269" s="56">
        <v>0</v>
      </c>
      <c r="O269" s="56">
        <v>0</v>
      </c>
      <c r="P269" s="58">
        <v>0</v>
      </c>
      <c r="Q269" s="58">
        <v>0</v>
      </c>
      <c r="R269" s="58">
        <v>0</v>
      </c>
      <c r="S269" s="67">
        <f>SUM(M269:R269)</f>
        <v>0</v>
      </c>
      <c r="T269" s="56"/>
      <c r="U269" s="56">
        <f>S269</f>
        <v>0</v>
      </c>
      <c r="V269" s="93" t="s">
        <v>60</v>
      </c>
      <c r="W269" s="64">
        <f>U269</f>
        <v>0</v>
      </c>
      <c r="Z269" s="11">
        <f>SUM(M269:R269)-S269</f>
        <v>0</v>
      </c>
    </row>
    <row r="270" spans="1:26">
      <c r="A270" s="74"/>
      <c r="B270" s="59" t="s">
        <v>98</v>
      </c>
      <c r="C270" s="65"/>
      <c r="D270" s="65"/>
      <c r="E270" s="65"/>
      <c r="F270" s="66"/>
      <c r="G270" s="61">
        <v>0</v>
      </c>
      <c r="H270" s="62">
        <v>0</v>
      </c>
      <c r="I270" s="56"/>
      <c r="J270" s="62">
        <v>0</v>
      </c>
      <c r="K270" s="56">
        <v>0</v>
      </c>
      <c r="L270" s="56">
        <v>0</v>
      </c>
      <c r="M270" s="61">
        <f>SUM(G270:L270)</f>
        <v>0</v>
      </c>
      <c r="N270" s="56">
        <v>0</v>
      </c>
      <c r="O270" s="56">
        <v>0</v>
      </c>
      <c r="P270" s="58">
        <v>0</v>
      </c>
      <c r="Q270" s="58">
        <v>0</v>
      </c>
      <c r="R270" s="58">
        <v>0</v>
      </c>
      <c r="S270" s="61">
        <f>SUM(M270:R270)</f>
        <v>0</v>
      </c>
      <c r="T270" s="56"/>
      <c r="U270" s="56">
        <f>S270</f>
        <v>0</v>
      </c>
      <c r="V270" s="93" t="s">
        <v>60</v>
      </c>
      <c r="W270" s="64">
        <f>U270</f>
        <v>0</v>
      </c>
      <c r="Z270" s="11"/>
    </row>
    <row r="271" spans="1:26">
      <c r="A271" s="74"/>
      <c r="B271" s="59" t="s">
        <v>98</v>
      </c>
      <c r="C271" s="65"/>
      <c r="D271" s="65"/>
      <c r="E271" s="65"/>
      <c r="F271" s="66"/>
      <c r="G271" s="61">
        <v>0</v>
      </c>
      <c r="H271" s="62">
        <v>0</v>
      </c>
      <c r="I271" s="56"/>
      <c r="J271" s="62">
        <v>0</v>
      </c>
      <c r="K271" s="56">
        <v>0</v>
      </c>
      <c r="L271" s="56">
        <v>0</v>
      </c>
      <c r="M271" s="61">
        <f>SUM(G271:L271)</f>
        <v>0</v>
      </c>
      <c r="N271" s="56">
        <v>0</v>
      </c>
      <c r="O271" s="56">
        <v>0</v>
      </c>
      <c r="P271" s="58">
        <v>0</v>
      </c>
      <c r="Q271" s="58">
        <v>0</v>
      </c>
      <c r="R271" s="58">
        <v>0</v>
      </c>
      <c r="S271" s="61">
        <f>SUM(M271:R271)</f>
        <v>0</v>
      </c>
      <c r="T271" s="56"/>
      <c r="U271" s="56">
        <f>S271</f>
        <v>0</v>
      </c>
      <c r="V271" s="93" t="s">
        <v>60</v>
      </c>
      <c r="W271" s="64">
        <f>U271</f>
        <v>0</v>
      </c>
      <c r="Z271" s="11"/>
    </row>
    <row r="272" spans="1:26">
      <c r="A272" s="68" t="s">
        <v>405</v>
      </c>
      <c r="B272" s="68"/>
      <c r="C272" s="69"/>
      <c r="D272" s="69"/>
      <c r="E272" s="69"/>
      <c r="F272" s="70" t="s">
        <v>406</v>
      </c>
      <c r="G272" s="71">
        <f>SUM(G267:G271)</f>
        <v>16420</v>
      </c>
      <c r="H272" s="71">
        <f t="shared" ref="H272:S272" si="67">SUM(H267:H271)</f>
        <v>4819</v>
      </c>
      <c r="I272" s="71">
        <f t="shared" si="67"/>
        <v>0</v>
      </c>
      <c r="J272" s="71">
        <f t="shared" si="67"/>
        <v>0</v>
      </c>
      <c r="K272" s="71">
        <f t="shared" si="67"/>
        <v>0</v>
      </c>
      <c r="L272" s="71">
        <f t="shared" si="67"/>
        <v>0</v>
      </c>
      <c r="M272" s="71">
        <f t="shared" si="67"/>
        <v>21239</v>
      </c>
      <c r="N272" s="71">
        <f t="shared" si="67"/>
        <v>0</v>
      </c>
      <c r="O272" s="71">
        <f t="shared" si="67"/>
        <v>0</v>
      </c>
      <c r="P272" s="71">
        <f t="shared" si="67"/>
        <v>0</v>
      </c>
      <c r="Q272" s="71">
        <f t="shared" si="67"/>
        <v>0</v>
      </c>
      <c r="R272" s="71">
        <f t="shared" si="67"/>
        <v>0</v>
      </c>
      <c r="S272" s="71">
        <f t="shared" si="67"/>
        <v>21239</v>
      </c>
      <c r="T272" s="56"/>
      <c r="U272" s="71">
        <f>SUM(U267:U271)</f>
        <v>21239</v>
      </c>
      <c r="V272" s="71">
        <f>SUM(V267:V271)</f>
        <v>0</v>
      </c>
      <c r="W272" s="71">
        <f>SUM(W267:W271)</f>
        <v>21239</v>
      </c>
      <c r="Z272" s="11">
        <f>SUM(M272:R272)-S272</f>
        <v>0</v>
      </c>
    </row>
    <row r="273" spans="1:26" ht="15">
      <c r="A273" s="59"/>
      <c r="B273" s="59"/>
      <c r="C273" s="65"/>
      <c r="D273" s="65"/>
      <c r="E273" s="65"/>
      <c r="F273" s="6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304" t="s">
        <v>407</v>
      </c>
      <c r="V273" s="304"/>
      <c r="W273" s="304"/>
      <c r="Z273" s="11"/>
    </row>
    <row r="274" spans="1:26" ht="15">
      <c r="A274" s="304" t="s">
        <v>408</v>
      </c>
      <c r="B274" s="304"/>
      <c r="C274" s="304"/>
      <c r="D274" s="304"/>
      <c r="E274" s="304"/>
      <c r="F274" s="6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64"/>
      <c r="Z274" s="11"/>
    </row>
    <row r="275" spans="1:26">
      <c r="A275" s="59" t="s">
        <v>409</v>
      </c>
      <c r="B275" s="59"/>
      <c r="C275" s="65"/>
      <c r="D275" s="65"/>
      <c r="E275" s="65"/>
      <c r="F275" s="79" t="s">
        <v>410</v>
      </c>
      <c r="G275" s="61"/>
      <c r="H275" s="62">
        <v>0</v>
      </c>
      <c r="I275" s="56"/>
      <c r="J275" s="62">
        <v>0</v>
      </c>
      <c r="K275" s="56">
        <v>0</v>
      </c>
      <c r="L275" s="56">
        <v>0</v>
      </c>
      <c r="M275" s="56"/>
      <c r="N275" s="56"/>
      <c r="O275" s="56">
        <v>0</v>
      </c>
      <c r="P275" s="56">
        <v>0</v>
      </c>
      <c r="Q275" s="56">
        <v>0</v>
      </c>
      <c r="R275" s="56">
        <v>0</v>
      </c>
      <c r="S275" s="61">
        <f>SUM(M275:R275)</f>
        <v>0</v>
      </c>
      <c r="T275" s="56"/>
      <c r="U275" s="56">
        <f>S275</f>
        <v>0</v>
      </c>
      <c r="V275" s="93" t="s">
        <v>60</v>
      </c>
      <c r="W275" s="64">
        <f>U275</f>
        <v>0</v>
      </c>
      <c r="Z275" s="11">
        <f>SUM(M275:R275)-S275</f>
        <v>0</v>
      </c>
    </row>
    <row r="276" spans="1:26">
      <c r="A276" s="59" t="s">
        <v>8</v>
      </c>
      <c r="B276" s="59"/>
      <c r="C276" s="65"/>
      <c r="D276" s="65"/>
      <c r="E276" s="65"/>
      <c r="F276" s="66"/>
      <c r="G276" s="61"/>
      <c r="H276" s="62">
        <v>0</v>
      </c>
      <c r="I276" s="56"/>
      <c r="J276" s="62">
        <v>0</v>
      </c>
      <c r="K276" s="56">
        <v>0</v>
      </c>
      <c r="L276" s="56">
        <v>0</v>
      </c>
      <c r="M276" s="56"/>
      <c r="N276" s="56"/>
      <c r="O276" s="56">
        <v>0</v>
      </c>
      <c r="P276" s="56">
        <v>0</v>
      </c>
      <c r="Q276" s="56">
        <v>0</v>
      </c>
      <c r="R276" s="56">
        <v>0</v>
      </c>
      <c r="S276" s="61">
        <f>SUM(M276:R276)</f>
        <v>0</v>
      </c>
      <c r="T276" s="56"/>
      <c r="U276" s="56">
        <f>S276</f>
        <v>0</v>
      </c>
      <c r="V276" s="93" t="s">
        <v>60</v>
      </c>
      <c r="W276" s="64">
        <f>U276</f>
        <v>0</v>
      </c>
      <c r="Z276" s="11">
        <f>SUM(M276:R276)-S276</f>
        <v>0</v>
      </c>
    </row>
    <row r="277" spans="1:26">
      <c r="A277" s="59" t="s">
        <v>8</v>
      </c>
      <c r="B277" s="59"/>
      <c r="C277" s="65"/>
      <c r="D277" s="65"/>
      <c r="E277" s="65"/>
      <c r="F277" s="66"/>
      <c r="G277" s="61"/>
      <c r="H277" s="62">
        <v>0</v>
      </c>
      <c r="I277" s="56"/>
      <c r="J277" s="62">
        <v>0</v>
      </c>
      <c r="K277" s="56">
        <v>0</v>
      </c>
      <c r="L277" s="56">
        <v>0</v>
      </c>
      <c r="M277" s="56"/>
      <c r="N277" s="56"/>
      <c r="O277" s="56">
        <v>0</v>
      </c>
      <c r="P277" s="56">
        <v>0</v>
      </c>
      <c r="Q277" s="56">
        <v>0</v>
      </c>
      <c r="R277" s="56">
        <v>0</v>
      </c>
      <c r="S277" s="67">
        <f>SUM(M277:R277)</f>
        <v>0</v>
      </c>
      <c r="T277" s="56"/>
      <c r="U277" s="56">
        <f>S277</f>
        <v>0</v>
      </c>
      <c r="V277" s="93" t="s">
        <v>60</v>
      </c>
      <c r="W277" s="64">
        <f>U277</f>
        <v>0</v>
      </c>
      <c r="Z277" s="11">
        <f>SUM(M277:R277)-S277</f>
        <v>0</v>
      </c>
    </row>
    <row r="278" spans="1:26">
      <c r="A278" s="68" t="s">
        <v>379</v>
      </c>
      <c r="B278" s="68"/>
      <c r="C278" s="69"/>
      <c r="D278" s="69"/>
      <c r="E278" s="69"/>
      <c r="F278" s="70" t="s">
        <v>411</v>
      </c>
      <c r="G278" s="71">
        <f t="shared" ref="G278:S278" si="68">SUM(G275:G277)</f>
        <v>0</v>
      </c>
      <c r="H278" s="71">
        <f t="shared" si="68"/>
        <v>0</v>
      </c>
      <c r="I278" s="71">
        <f t="shared" si="68"/>
        <v>0</v>
      </c>
      <c r="J278" s="71">
        <f t="shared" si="68"/>
        <v>0</v>
      </c>
      <c r="K278" s="71">
        <f t="shared" si="68"/>
        <v>0</v>
      </c>
      <c r="L278" s="71">
        <f t="shared" si="68"/>
        <v>0</v>
      </c>
      <c r="M278" s="71">
        <f t="shared" si="68"/>
        <v>0</v>
      </c>
      <c r="N278" s="71">
        <f t="shared" si="68"/>
        <v>0</v>
      </c>
      <c r="O278" s="71">
        <f t="shared" si="68"/>
        <v>0</v>
      </c>
      <c r="P278" s="71">
        <f t="shared" si="68"/>
        <v>0</v>
      </c>
      <c r="Q278" s="71">
        <f t="shared" si="68"/>
        <v>0</v>
      </c>
      <c r="R278" s="71">
        <f t="shared" si="68"/>
        <v>0</v>
      </c>
      <c r="S278" s="71">
        <f t="shared" si="68"/>
        <v>0</v>
      </c>
      <c r="T278" s="56"/>
      <c r="U278" s="71">
        <f>SUM(U275:U277)</f>
        <v>0</v>
      </c>
      <c r="V278" s="105" t="s">
        <v>60</v>
      </c>
      <c r="W278" s="71">
        <f>SUM(W275:W277)</f>
        <v>0</v>
      </c>
      <c r="Z278" s="11">
        <f>SUM(M278:R278)-S278</f>
        <v>0</v>
      </c>
    </row>
    <row r="279" spans="1:26" ht="15.75" thickBot="1">
      <c r="A279" s="59"/>
      <c r="B279" s="59"/>
      <c r="C279" s="65"/>
      <c r="D279" s="65"/>
      <c r="E279" s="65"/>
      <c r="F279" s="6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304" t="s">
        <v>412</v>
      </c>
      <c r="V279" s="304"/>
      <c r="W279" s="304"/>
      <c r="Z279" s="11"/>
    </row>
    <row r="280" spans="1:26" s="114" customFormat="1">
      <c r="A280" s="106" t="s">
        <v>413</v>
      </c>
      <c r="B280" s="107"/>
      <c r="C280" s="108"/>
      <c r="D280" s="108"/>
      <c r="E280" s="108"/>
      <c r="F280" s="109" t="s">
        <v>414</v>
      </c>
      <c r="G280" s="110">
        <f t="shared" ref="G280:P280" si="69">G264+G272+G278</f>
        <v>-62592718.724042885</v>
      </c>
      <c r="H280" s="110">
        <f t="shared" si="69"/>
        <v>16513537.603999998</v>
      </c>
      <c r="I280" s="110">
        <f t="shared" si="69"/>
        <v>0</v>
      </c>
      <c r="J280" s="110">
        <f t="shared" si="69"/>
        <v>-71837.653550128496</v>
      </c>
      <c r="K280" s="110">
        <f t="shared" si="69"/>
        <v>-161834.666</v>
      </c>
      <c r="L280" s="110">
        <f>L264+L272+L278</f>
        <v>0</v>
      </c>
      <c r="M280" s="110">
        <f t="shared" si="69"/>
        <v>-46312853.439593002</v>
      </c>
      <c r="N280" s="110">
        <f t="shared" si="69"/>
        <v>-4470066.9772996781</v>
      </c>
      <c r="O280" s="110">
        <f t="shared" si="69"/>
        <v>91385.352869999988</v>
      </c>
      <c r="P280" s="110">
        <f t="shared" si="69"/>
        <v>-27898.226159999998</v>
      </c>
      <c r="Q280" s="110">
        <f>Q264+Q272+Q278</f>
        <v>0</v>
      </c>
      <c r="R280" s="110">
        <f>R264+R272+R278</f>
        <v>-114235.70199999999</v>
      </c>
      <c r="S280" s="110">
        <f>S264+S272+S278</f>
        <v>-50833668.992182672</v>
      </c>
      <c r="T280" s="111" t="s">
        <v>415</v>
      </c>
      <c r="U280" s="112"/>
      <c r="V280" s="112"/>
      <c r="W280" s="113"/>
      <c r="Z280" s="115">
        <f>SUM(M280:R280)-S280</f>
        <v>0</v>
      </c>
    </row>
    <row r="281" spans="1:26" s="114" customFormat="1" ht="14.25" thickBot="1">
      <c r="A281" s="116" t="s">
        <v>416</v>
      </c>
      <c r="B281" s="117"/>
      <c r="C281" s="118"/>
      <c r="D281" s="118"/>
      <c r="E281" s="118"/>
      <c r="F281" s="119" t="s">
        <v>417</v>
      </c>
      <c r="G281" s="120">
        <f>G258</f>
        <v>-6638525.1503525265</v>
      </c>
      <c r="H281" s="120">
        <f t="shared" ref="H281:S281" si="70">H258</f>
        <v>-398500.44</v>
      </c>
      <c r="I281" s="120">
        <f t="shared" si="70"/>
        <v>0</v>
      </c>
      <c r="J281" s="120">
        <f t="shared" si="70"/>
        <v>40394.014550128537</v>
      </c>
      <c r="K281" s="120">
        <f t="shared" si="70"/>
        <v>-42258.239999999998</v>
      </c>
      <c r="L281" s="120">
        <f>L258</f>
        <v>0</v>
      </c>
      <c r="M281" s="120">
        <f>M258</f>
        <v>-7038889.8158023981</v>
      </c>
      <c r="N281" s="120">
        <f t="shared" si="70"/>
        <v>-878593.60054097488</v>
      </c>
      <c r="O281" s="120">
        <f t="shared" si="70"/>
        <v>16666.021799999999</v>
      </c>
      <c r="P281" s="120">
        <f t="shared" si="70"/>
        <v>-5087.8224</v>
      </c>
      <c r="Q281" s="120">
        <f t="shared" si="70"/>
        <v>0</v>
      </c>
      <c r="R281" s="120">
        <f t="shared" si="70"/>
        <v>-12287.279999999999</v>
      </c>
      <c r="S281" s="120">
        <f t="shared" si="70"/>
        <v>-7918192.4969433732</v>
      </c>
      <c r="T281" s="111" t="s">
        <v>418</v>
      </c>
      <c r="U281" s="112"/>
      <c r="V281" s="112"/>
      <c r="W281" s="113"/>
      <c r="Z281" s="115">
        <f>SUM(M281:R281)-S281</f>
        <v>0</v>
      </c>
    </row>
    <row r="282" spans="1:26" s="114" customFormat="1" ht="15" thickTop="1" thickBot="1">
      <c r="A282" s="121" t="s">
        <v>419</v>
      </c>
      <c r="B282" s="122"/>
      <c r="C282" s="123"/>
      <c r="D282" s="123"/>
      <c r="E282" s="123"/>
      <c r="F282" s="124"/>
      <c r="G282" s="125">
        <f t="shared" ref="G282:S282" si="71">SUM(G280:G281)</f>
        <v>-69231243.874395415</v>
      </c>
      <c r="H282" s="125">
        <f t="shared" si="71"/>
        <v>16115037.163999999</v>
      </c>
      <c r="I282" s="125">
        <f t="shared" si="71"/>
        <v>0</v>
      </c>
      <c r="J282" s="125">
        <f t="shared" si="71"/>
        <v>-31443.638999999959</v>
      </c>
      <c r="K282" s="125">
        <f t="shared" si="71"/>
        <v>-204092.90599999999</v>
      </c>
      <c r="L282" s="125">
        <f>SUM(L280:L281)</f>
        <v>0</v>
      </c>
      <c r="M282" s="125">
        <f t="shared" si="71"/>
        <v>-53351743.255395398</v>
      </c>
      <c r="N282" s="125">
        <f t="shared" si="71"/>
        <v>-5348660.5778406532</v>
      </c>
      <c r="O282" s="125">
        <f t="shared" si="71"/>
        <v>108051.37466999999</v>
      </c>
      <c r="P282" s="125">
        <f t="shared" si="71"/>
        <v>-32986.048559999996</v>
      </c>
      <c r="Q282" s="125">
        <f>SUM(Q280:Q281)</f>
        <v>0</v>
      </c>
      <c r="R282" s="125">
        <f>SUM(R280:R281)</f>
        <v>-126522.98199999999</v>
      </c>
      <c r="S282" s="125">
        <f t="shared" si="71"/>
        <v>-58751861.489126042</v>
      </c>
      <c r="T282" s="112"/>
      <c r="U282" s="126">
        <f>SUM(U9:U278)/2</f>
        <v>85420621.576883718</v>
      </c>
      <c r="V282" s="126">
        <f>SUM(V9:V278)/2</f>
        <v>144172483.06600976</v>
      </c>
      <c r="W282" s="127">
        <f>U282-V282</f>
        <v>-58751861.489126042</v>
      </c>
      <c r="X282" s="128"/>
      <c r="Z282" s="115">
        <f>SUM(M282:R282)-S282</f>
        <v>0</v>
      </c>
    </row>
    <row r="283" spans="1:26" s="132" customFormat="1" ht="14.25" thickTop="1">
      <c r="A283" s="129"/>
      <c r="B283" s="129"/>
      <c r="C283" s="130"/>
      <c r="D283" s="130"/>
      <c r="E283" s="130"/>
      <c r="F283" s="66"/>
      <c r="G283" s="103" t="s">
        <v>420</v>
      </c>
      <c r="H283" s="103" t="s">
        <v>421</v>
      </c>
      <c r="I283" s="103" t="s">
        <v>422</v>
      </c>
      <c r="J283" s="103" t="s">
        <v>423</v>
      </c>
      <c r="K283" s="103" t="s">
        <v>424</v>
      </c>
      <c r="L283" s="103" t="s">
        <v>425</v>
      </c>
      <c r="M283" s="103" t="s">
        <v>426</v>
      </c>
      <c r="N283" s="103" t="s">
        <v>427</v>
      </c>
      <c r="O283" s="103" t="s">
        <v>428</v>
      </c>
      <c r="P283" s="103" t="s">
        <v>429</v>
      </c>
      <c r="Q283" s="103" t="s">
        <v>430</v>
      </c>
      <c r="R283" s="103" t="s">
        <v>431</v>
      </c>
      <c r="S283" s="103" t="s">
        <v>432</v>
      </c>
      <c r="T283" s="131"/>
      <c r="U283" s="131"/>
      <c r="W283" s="133" t="str">
        <f>IF(W282=S282,"OK","Error in Analysis")</f>
        <v>OK</v>
      </c>
    </row>
    <row r="284" spans="1:26" s="132" customFormat="1">
      <c r="A284" s="129"/>
      <c r="B284" s="129"/>
      <c r="C284" s="130"/>
      <c r="D284" s="130"/>
      <c r="E284" s="250" t="s">
        <v>787</v>
      </c>
      <c r="F284" s="252">
        <f>+G282</f>
        <v>-69231243.874395415</v>
      </c>
      <c r="G284" s="134" t="s">
        <v>433</v>
      </c>
      <c r="H284" s="265">
        <v>20379414</v>
      </c>
      <c r="I284" s="134" t="s">
        <v>434</v>
      </c>
      <c r="J284" s="134">
        <v>55693</v>
      </c>
      <c r="K284" s="134">
        <v>204092</v>
      </c>
      <c r="L284" s="56" t="s">
        <v>435</v>
      </c>
      <c r="M284" s="103"/>
      <c r="N284" s="103"/>
      <c r="O284" s="103"/>
      <c r="P284" s="103"/>
      <c r="Q284" s="93" t="s">
        <v>766</v>
      </c>
      <c r="R284" s="56">
        <v>-42560</v>
      </c>
      <c r="S284" s="256">
        <f>+'TB @ 123111'!C16</f>
        <v>-58751871</v>
      </c>
      <c r="T284" s="255" t="s">
        <v>767</v>
      </c>
      <c r="U284" s="131"/>
      <c r="V284" s="135" t="s">
        <v>436</v>
      </c>
      <c r="W284" s="136">
        <f>W282-S282</f>
        <v>0</v>
      </c>
    </row>
    <row r="285" spans="1:26" ht="15">
      <c r="A285" s="59"/>
      <c r="B285" s="59"/>
      <c r="C285" s="65"/>
      <c r="D285" s="65"/>
      <c r="E285" s="250" t="s">
        <v>788</v>
      </c>
      <c r="F285" s="251">
        <f>+J284</f>
        <v>55693</v>
      </c>
      <c r="G285" s="137" t="s">
        <v>437</v>
      </c>
      <c r="H285" s="246">
        <v>-4264378</v>
      </c>
      <c r="I285" s="93" t="s">
        <v>438</v>
      </c>
      <c r="J285" s="56">
        <v>-87010</v>
      </c>
      <c r="K285" s="56"/>
      <c r="L285" s="56"/>
      <c r="M285" s="56"/>
      <c r="N285" s="56"/>
      <c r="O285" s="56"/>
      <c r="P285" s="56"/>
      <c r="Q285" s="93" t="s">
        <v>439</v>
      </c>
      <c r="R285" s="138">
        <v>-83963</v>
      </c>
      <c r="S285" s="254">
        <f>+S282-S284</f>
        <v>9.5108739584684372</v>
      </c>
      <c r="T285" s="255" t="s">
        <v>768</v>
      </c>
      <c r="U285" s="56"/>
      <c r="V285" s="135"/>
      <c r="W285" s="136"/>
    </row>
    <row r="286" spans="1:26" ht="15.75" thickBot="1">
      <c r="A286" s="59"/>
      <c r="B286" s="59"/>
      <c r="C286" s="65"/>
      <c r="D286" s="65"/>
      <c r="E286" s="250"/>
      <c r="F286" s="252">
        <f>SUM(F284:F285)</f>
        <v>-69175550.874395415</v>
      </c>
      <c r="G286" s="134" t="s">
        <v>10</v>
      </c>
      <c r="H286" s="265">
        <f>SUM(H284:H285)</f>
        <v>16115036</v>
      </c>
      <c r="I286" s="137" t="s">
        <v>440</v>
      </c>
      <c r="J286">
        <v>5</v>
      </c>
      <c r="L286" s="56"/>
      <c r="M286" s="56"/>
      <c r="N286" s="56"/>
      <c r="O286" s="56"/>
      <c r="P286" s="56"/>
      <c r="Q286" s="93" t="s">
        <v>10</v>
      </c>
      <c r="R286" s="56">
        <f>R284+R285</f>
        <v>-126523</v>
      </c>
      <c r="S286" s="56"/>
      <c r="T286" s="56"/>
      <c r="U286" s="56"/>
      <c r="V286" s="135"/>
      <c r="W286" s="136"/>
    </row>
    <row r="287" spans="1:26" ht="14.25" customHeight="1" thickBot="1">
      <c r="A287" s="59"/>
      <c r="B287" s="59"/>
      <c r="C287" s="65"/>
      <c r="D287" s="65"/>
      <c r="E287" s="253"/>
      <c r="F287" s="251">
        <f>+'TB @ 123111'!B16</f>
        <v>-69175682</v>
      </c>
      <c r="G287" s="140"/>
      <c r="H287" s="141"/>
      <c r="I287" s="93" t="s">
        <v>10</v>
      </c>
      <c r="J287" s="56">
        <f>SUM(J284:J286)</f>
        <v>-31312</v>
      </c>
      <c r="K287" s="56"/>
      <c r="L287" s="56"/>
      <c r="M287" s="56"/>
      <c r="N287" s="56"/>
      <c r="O287" s="56"/>
      <c r="P287" s="56"/>
      <c r="Q287" s="56"/>
      <c r="R287" s="56">
        <f>R282-R286</f>
        <v>1.800000001094304E-2</v>
      </c>
      <c r="S287" s="142" t="s">
        <v>441</v>
      </c>
      <c r="V287" s="135"/>
      <c r="W287" s="136"/>
    </row>
    <row r="288" spans="1:26" s="144" customFormat="1">
      <c r="A288" s="143"/>
      <c r="B288" s="59"/>
      <c r="C288" s="65"/>
      <c r="D288" s="65"/>
      <c r="E288" s="253"/>
      <c r="F288" s="252">
        <f>+F286-F287</f>
        <v>131.12560458481312</v>
      </c>
      <c r="G288" s="140"/>
      <c r="H288" s="141"/>
      <c r="I288" s="56"/>
      <c r="J288" s="56">
        <f>J282-J287</f>
        <v>-131.6389999999592</v>
      </c>
      <c r="K288" s="56" t="s">
        <v>442</v>
      </c>
      <c r="L288" s="56"/>
      <c r="M288" s="56"/>
      <c r="N288" s="56"/>
      <c r="O288" s="56"/>
      <c r="P288" s="56"/>
      <c r="Q288" s="56"/>
      <c r="R288" s="56"/>
      <c r="S288" s="56"/>
      <c r="U288" s="104"/>
      <c r="V288" s="104"/>
      <c r="W288" s="104"/>
    </row>
    <row r="289" spans="1:26" ht="12.75">
      <c r="A289" s="59"/>
      <c r="B289" s="59" t="s">
        <v>443</v>
      </c>
      <c r="C289" s="65"/>
      <c r="D289" s="65"/>
      <c r="E289" s="139"/>
      <c r="F289" s="65"/>
      <c r="G289" s="56">
        <f t="shared" ref="G289:S289" si="72">G32*($G305+$G307)</f>
        <v>145554.11803636665</v>
      </c>
      <c r="H289" s="56">
        <f t="shared" si="72"/>
        <v>0</v>
      </c>
      <c r="I289" s="56">
        <f t="shared" si="72"/>
        <v>0</v>
      </c>
      <c r="J289" s="56">
        <f t="shared" si="72"/>
        <v>0</v>
      </c>
      <c r="K289" s="56">
        <f t="shared" si="72"/>
        <v>0</v>
      </c>
      <c r="L289" s="56">
        <f t="shared" si="72"/>
        <v>0</v>
      </c>
      <c r="M289" s="56">
        <f t="shared" si="72"/>
        <v>145554.11803636665</v>
      </c>
      <c r="N289" s="56">
        <f t="shared" si="72"/>
        <v>48993.13095833332</v>
      </c>
      <c r="O289" s="56">
        <f t="shared" si="72"/>
        <v>0</v>
      </c>
      <c r="P289" s="56">
        <f t="shared" si="72"/>
        <v>0</v>
      </c>
      <c r="Q289" s="56">
        <f t="shared" si="72"/>
        <v>0</v>
      </c>
      <c r="R289" s="56">
        <f t="shared" si="72"/>
        <v>0</v>
      </c>
      <c r="S289" s="56">
        <f t="shared" si="72"/>
        <v>194547.2489947</v>
      </c>
      <c r="U289" s="56"/>
      <c r="V289" s="56"/>
      <c r="W289" s="145"/>
    </row>
    <row r="290" spans="1:26" ht="12.75">
      <c r="A290" s="59"/>
      <c r="B290" s="59" t="s">
        <v>444</v>
      </c>
      <c r="C290" s="65"/>
      <c r="D290" s="65"/>
      <c r="E290" s="139"/>
      <c r="F290" s="65"/>
      <c r="G290" s="56">
        <f>G280-G289</f>
        <v>-62738272.842079252</v>
      </c>
      <c r="H290" s="56">
        <f t="shared" ref="H290:S290" si="73">H280-H289</f>
        <v>16513537.603999998</v>
      </c>
      <c r="I290" s="56">
        <f t="shared" si="73"/>
        <v>0</v>
      </c>
      <c r="J290" s="56">
        <f t="shared" si="73"/>
        <v>-71837.653550128496</v>
      </c>
      <c r="K290" s="56">
        <f t="shared" si="73"/>
        <v>-161834.666</v>
      </c>
      <c r="L290" s="56">
        <f t="shared" si="73"/>
        <v>0</v>
      </c>
      <c r="M290" s="56">
        <f t="shared" si="73"/>
        <v>-46458407.557629369</v>
      </c>
      <c r="N290" s="56">
        <f t="shared" si="73"/>
        <v>-4519060.1082580118</v>
      </c>
      <c r="O290" s="56">
        <f t="shared" si="73"/>
        <v>91385.352869999988</v>
      </c>
      <c r="P290" s="56">
        <f t="shared" si="73"/>
        <v>-27898.226159999998</v>
      </c>
      <c r="Q290" s="56">
        <f t="shared" si="73"/>
        <v>0</v>
      </c>
      <c r="R290" s="56">
        <f t="shared" si="73"/>
        <v>-114235.70199999999</v>
      </c>
      <c r="S290" s="56">
        <f t="shared" si="73"/>
        <v>-51028216.241177373</v>
      </c>
      <c r="U290" s="56"/>
      <c r="V290" s="56"/>
      <c r="W290" s="145"/>
    </row>
    <row r="291" spans="1:26" ht="12.75">
      <c r="A291" s="59"/>
      <c r="B291" s="59" t="s">
        <v>445</v>
      </c>
      <c r="C291" s="65"/>
      <c r="D291" s="65"/>
      <c r="E291" s="139"/>
      <c r="F291" s="65"/>
      <c r="G291" s="56">
        <f t="shared" ref="G291:S291" si="74">G32*$G306</f>
        <v>26544.823957999997</v>
      </c>
      <c r="H291" s="56">
        <f t="shared" si="74"/>
        <v>0</v>
      </c>
      <c r="I291" s="56">
        <f t="shared" si="74"/>
        <v>0</v>
      </c>
      <c r="J291" s="56">
        <f t="shared" si="74"/>
        <v>0</v>
      </c>
      <c r="K291" s="56">
        <f t="shared" si="74"/>
        <v>0</v>
      </c>
      <c r="L291" s="56">
        <f t="shared" si="74"/>
        <v>0</v>
      </c>
      <c r="M291" s="56">
        <f t="shared" si="74"/>
        <v>26544.823957999997</v>
      </c>
      <c r="N291" s="56">
        <f t="shared" si="74"/>
        <v>8934.9174999999996</v>
      </c>
      <c r="O291" s="56">
        <f t="shared" si="74"/>
        <v>0</v>
      </c>
      <c r="P291" s="56">
        <f t="shared" si="74"/>
        <v>0</v>
      </c>
      <c r="Q291" s="56">
        <f t="shared" si="74"/>
        <v>0</v>
      </c>
      <c r="R291" s="56">
        <f t="shared" si="74"/>
        <v>0</v>
      </c>
      <c r="S291" s="56">
        <f t="shared" si="74"/>
        <v>35479.741458000004</v>
      </c>
      <c r="U291" s="56"/>
      <c r="V291" s="56"/>
      <c r="W291" s="56"/>
    </row>
    <row r="292" spans="1:26" ht="12.75">
      <c r="A292" s="59"/>
      <c r="B292" s="59" t="s">
        <v>446</v>
      </c>
      <c r="C292" s="65"/>
      <c r="D292" s="65"/>
      <c r="E292" s="139"/>
      <c r="F292" s="65"/>
      <c r="G292" s="56">
        <f>G281-G291</f>
        <v>-6665069.9743105266</v>
      </c>
      <c r="H292" s="56">
        <f t="shared" ref="H292:S292" si="75">H281-H291</f>
        <v>-398500.44</v>
      </c>
      <c r="I292" s="56">
        <f t="shared" si="75"/>
        <v>0</v>
      </c>
      <c r="J292" s="56">
        <f t="shared" si="75"/>
        <v>40394.014550128537</v>
      </c>
      <c r="K292" s="56">
        <f t="shared" si="75"/>
        <v>-42258.239999999998</v>
      </c>
      <c r="L292" s="56">
        <f>L281-L291</f>
        <v>0</v>
      </c>
      <c r="M292" s="56">
        <f t="shared" si="75"/>
        <v>-7065434.6397603983</v>
      </c>
      <c r="N292" s="56">
        <f t="shared" si="75"/>
        <v>-887528.51804097486</v>
      </c>
      <c r="O292" s="56">
        <f t="shared" si="75"/>
        <v>16666.021799999999</v>
      </c>
      <c r="P292" s="56">
        <f t="shared" si="75"/>
        <v>-5087.8224</v>
      </c>
      <c r="Q292" s="56">
        <f t="shared" si="75"/>
        <v>0</v>
      </c>
      <c r="R292" s="56">
        <f t="shared" si="75"/>
        <v>-12287.279999999999</v>
      </c>
      <c r="S292" s="56">
        <f t="shared" si="75"/>
        <v>-7953672.2384013729</v>
      </c>
      <c r="U292" s="56"/>
      <c r="V292" s="135"/>
      <c r="W292" s="73"/>
    </row>
    <row r="293" spans="1:26" ht="12.75">
      <c r="A293" s="59"/>
      <c r="B293" s="59"/>
      <c r="C293" s="65"/>
      <c r="D293" s="65"/>
      <c r="E293" s="139"/>
      <c r="F293" s="6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U293" s="56"/>
      <c r="V293" s="135"/>
      <c r="W293" s="136"/>
    </row>
    <row r="294" spans="1:26" thickBot="1">
      <c r="A294" s="59"/>
      <c r="B294" s="59" t="s">
        <v>10</v>
      </c>
      <c r="C294" s="65"/>
      <c r="D294" s="65"/>
      <c r="E294" s="139"/>
      <c r="F294" s="65"/>
      <c r="G294" s="146">
        <f>SUM(G289:G293)</f>
        <v>-69231243.874395415</v>
      </c>
      <c r="H294" s="146">
        <f t="shared" ref="H294:S294" si="76">SUM(H289:H293)</f>
        <v>16115037.163999999</v>
      </c>
      <c r="I294" s="146">
        <f t="shared" si="76"/>
        <v>0</v>
      </c>
      <c r="J294" s="146">
        <f t="shared" si="76"/>
        <v>-31443.638999999959</v>
      </c>
      <c r="K294" s="146">
        <f t="shared" si="76"/>
        <v>-204092.90599999999</v>
      </c>
      <c r="L294" s="146">
        <f>SUM(L289:L293)</f>
        <v>0</v>
      </c>
      <c r="M294" s="146">
        <f t="shared" si="76"/>
        <v>-53351743.255395398</v>
      </c>
      <c r="N294" s="146">
        <f t="shared" si="76"/>
        <v>-5348660.5778406523</v>
      </c>
      <c r="O294" s="146">
        <f t="shared" si="76"/>
        <v>108051.37466999999</v>
      </c>
      <c r="P294" s="146">
        <f t="shared" si="76"/>
        <v>-32986.048559999996</v>
      </c>
      <c r="Q294" s="146">
        <f t="shared" si="76"/>
        <v>0</v>
      </c>
      <c r="R294" s="146">
        <f t="shared" si="76"/>
        <v>-126522.98199999999</v>
      </c>
      <c r="S294" s="146">
        <f t="shared" si="76"/>
        <v>-58751861.489126049</v>
      </c>
      <c r="U294" s="56"/>
      <c r="V294" s="135"/>
      <c r="W294" s="136"/>
    </row>
    <row r="295" spans="1:26" ht="14.25" thickTop="1">
      <c r="A295" s="59"/>
      <c r="B295" s="59"/>
      <c r="C295" s="65"/>
      <c r="D295" s="65"/>
      <c r="E295" s="139"/>
      <c r="F295" s="65"/>
      <c r="G295" s="140"/>
      <c r="H295" s="141"/>
      <c r="I295" s="56"/>
      <c r="J295" s="56"/>
      <c r="K295" s="56"/>
      <c r="L295" s="56"/>
      <c r="M295" s="147"/>
      <c r="N295" s="56"/>
      <c r="O295" s="56"/>
      <c r="P295" s="56"/>
      <c r="Q295" s="56"/>
      <c r="R295" s="135"/>
      <c r="S295" s="73" t="str">
        <f>IF((ROUND(S294,0))=(ROUND(S282,0)),"OK","Error in Analysis")</f>
        <v>OK</v>
      </c>
      <c r="U295" s="56"/>
      <c r="V295" s="135"/>
      <c r="W295" s="136"/>
    </row>
    <row r="296" spans="1:26">
      <c r="A296" s="59"/>
      <c r="B296" s="59"/>
      <c r="C296" s="65"/>
      <c r="D296" s="65"/>
      <c r="E296" s="139"/>
      <c r="F296" s="65"/>
      <c r="G296" s="129"/>
      <c r="H296" s="148"/>
      <c r="I296" s="56"/>
      <c r="J296" s="56"/>
      <c r="K296" s="56"/>
      <c r="L296" s="56"/>
      <c r="M296" s="56"/>
      <c r="N296" s="56"/>
      <c r="O296" s="56"/>
      <c r="P296" s="56"/>
      <c r="Q296" s="56"/>
      <c r="R296" s="135" t="s">
        <v>436</v>
      </c>
      <c r="S296" s="136">
        <f>S294-S282</f>
        <v>0</v>
      </c>
      <c r="U296" s="56"/>
      <c r="V296" s="135"/>
      <c r="W296" s="136"/>
    </row>
    <row r="297" spans="1:26">
      <c r="A297" s="59"/>
      <c r="B297" s="59"/>
      <c r="C297" s="65"/>
      <c r="D297" s="65"/>
      <c r="E297" s="139"/>
      <c r="F297" s="65"/>
      <c r="G297" s="149" t="s">
        <v>447</v>
      </c>
      <c r="H297" s="148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U297" s="56"/>
      <c r="V297" s="135"/>
      <c r="W297" s="136"/>
    </row>
    <row r="298" spans="1:26">
      <c r="A298" s="59"/>
      <c r="B298" s="59"/>
      <c r="C298" s="65"/>
      <c r="D298" s="65"/>
      <c r="E298" s="139"/>
      <c r="F298" s="65"/>
      <c r="G298" s="150" t="s">
        <v>448</v>
      </c>
      <c r="H298" s="148"/>
      <c r="I298" s="56"/>
      <c r="J298" s="56">
        <f>J290-((J222*($G305+$G307)))</f>
        <v>217959.69344987144</v>
      </c>
      <c r="K298" s="56"/>
      <c r="L298" s="56"/>
      <c r="M298" s="56"/>
      <c r="N298" s="56"/>
      <c r="O298" s="56"/>
      <c r="P298" s="56"/>
      <c r="Q298" s="56"/>
      <c r="R298" s="56"/>
      <c r="S298" s="56">
        <f>S290-((S222*($G305+$G307)))</f>
        <v>-51028216.245514639</v>
      </c>
      <c r="U298" s="56"/>
      <c r="V298" s="135"/>
      <c r="W298" s="136"/>
    </row>
    <row r="299" spans="1:26">
      <c r="A299" s="59"/>
      <c r="B299" s="59"/>
      <c r="C299" s="65"/>
      <c r="D299" s="65"/>
      <c r="E299" s="139"/>
      <c r="F299" s="65"/>
      <c r="G299" s="150" t="s">
        <v>449</v>
      </c>
      <c r="H299" s="148"/>
      <c r="I299" s="56"/>
      <c r="J299" s="56">
        <f>J292-(J222*$G306)</f>
        <v>93244.594550128531</v>
      </c>
      <c r="K299" s="56"/>
      <c r="L299" s="56"/>
      <c r="M299" s="56"/>
      <c r="N299" s="56"/>
      <c r="O299" s="56"/>
      <c r="P299" s="56"/>
      <c r="Q299" s="56"/>
      <c r="R299" s="56"/>
      <c r="S299" s="56">
        <f>S292-(S222*$G306)</f>
        <v>-7953672.2391923647</v>
      </c>
      <c r="U299" s="56"/>
      <c r="V299" s="135"/>
      <c r="W299" s="136"/>
    </row>
    <row r="300" spans="1:26">
      <c r="A300" s="59"/>
      <c r="B300" s="59"/>
      <c r="C300" s="65"/>
      <c r="D300" s="65"/>
      <c r="E300" s="65"/>
      <c r="F300" s="6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135"/>
      <c r="W300" s="136"/>
    </row>
    <row r="301" spans="1:26">
      <c r="A301" s="59"/>
      <c r="B301" s="59"/>
      <c r="C301" s="65"/>
      <c r="D301" s="65"/>
      <c r="E301" s="65"/>
      <c r="F301" s="6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135"/>
      <c r="W301" s="136"/>
    </row>
    <row r="302" spans="1:26">
      <c r="A302" s="59"/>
      <c r="B302" s="59"/>
      <c r="C302" s="65"/>
      <c r="D302" s="65"/>
      <c r="E302" s="65"/>
      <c r="F302" s="6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135"/>
      <c r="W302" s="136"/>
    </row>
    <row r="303" spans="1:26" ht="14.25" thickBot="1">
      <c r="A303" s="59"/>
      <c r="B303" s="59"/>
      <c r="C303" s="65"/>
      <c r="D303" s="65"/>
      <c r="E303" s="65"/>
      <c r="F303" s="6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135"/>
      <c r="W303" s="136"/>
    </row>
    <row r="304" spans="1:26" ht="14.25" thickBot="1">
      <c r="A304" s="59"/>
      <c r="B304" s="151" t="s">
        <v>450</v>
      </c>
      <c r="C304" s="152"/>
      <c r="D304" s="152"/>
      <c r="E304" s="152"/>
      <c r="F304" s="153"/>
      <c r="G304" s="7" t="s">
        <v>7</v>
      </c>
      <c r="H304" s="7" t="s">
        <v>3</v>
      </c>
      <c r="I304" s="154" t="s">
        <v>451</v>
      </c>
      <c r="R304" s="56"/>
      <c r="T304" s="56"/>
      <c r="U304" s="56"/>
      <c r="X304" s="56"/>
      <c r="Y304" s="56"/>
      <c r="Z304" s="58"/>
    </row>
    <row r="305" spans="1:28">
      <c r="B305" s="155" t="s">
        <v>452</v>
      </c>
      <c r="C305" s="156"/>
      <c r="D305" s="156"/>
      <c r="E305" s="156"/>
      <c r="F305" s="157" t="s">
        <v>453</v>
      </c>
      <c r="G305" s="158">
        <v>0.35</v>
      </c>
      <c r="H305" s="158">
        <v>0.35</v>
      </c>
      <c r="I305" s="159">
        <f>G305-H305</f>
        <v>0</v>
      </c>
      <c r="J305" s="160" t="s">
        <v>454</v>
      </c>
      <c r="V305" s="82"/>
      <c r="W305" s="161"/>
    </row>
    <row r="306" spans="1:28" ht="15">
      <c r="B306" s="162" t="s">
        <v>455</v>
      </c>
      <c r="C306" s="10"/>
      <c r="D306" s="304" t="s">
        <v>456</v>
      </c>
      <c r="E306" s="304"/>
      <c r="F306" s="163" t="s">
        <v>457</v>
      </c>
      <c r="G306" s="164">
        <v>0.06</v>
      </c>
      <c r="H306" s="164">
        <v>0.06</v>
      </c>
      <c r="I306" s="165">
        <f>G306-H306</f>
        <v>0</v>
      </c>
      <c r="J306" s="160" t="s">
        <v>458</v>
      </c>
      <c r="V306" s="82"/>
      <c r="W306" s="161"/>
    </row>
    <row r="307" spans="1:28">
      <c r="B307" s="162" t="s">
        <v>459</v>
      </c>
      <c r="C307" s="166"/>
      <c r="D307" s="166"/>
      <c r="E307" s="166"/>
      <c r="F307" s="163" t="s">
        <v>460</v>
      </c>
      <c r="G307" s="164">
        <f>-G306*G305</f>
        <v>-2.0999999999999998E-2</v>
      </c>
      <c r="H307" s="164">
        <f>-H306*H305</f>
        <v>-2.0999999999999998E-2</v>
      </c>
      <c r="I307" s="165">
        <f>G307-H307</f>
        <v>0</v>
      </c>
      <c r="J307" s="160" t="s">
        <v>461</v>
      </c>
      <c r="U307" s="58"/>
      <c r="V307" s="56"/>
      <c r="W307" s="161"/>
    </row>
    <row r="308" spans="1:28" ht="14.25" thickBot="1">
      <c r="B308" s="167" t="s">
        <v>462</v>
      </c>
      <c r="C308" s="168"/>
      <c r="D308" s="168"/>
      <c r="E308" s="168"/>
      <c r="F308" s="169"/>
      <c r="G308" s="170">
        <f>SUM(G305:G307)</f>
        <v>0.38899999999999996</v>
      </c>
      <c r="H308" s="170">
        <f>SUM(H305:H307)</f>
        <v>0.38899999999999996</v>
      </c>
      <c r="I308" s="171">
        <f>SUM(I305:I307)</f>
        <v>0</v>
      </c>
      <c r="J308" s="160" t="s">
        <v>463</v>
      </c>
      <c r="Q308" s="172" t="s">
        <v>464</v>
      </c>
      <c r="V308" s="83"/>
      <c r="W308" s="161"/>
    </row>
    <row r="309" spans="1:28" ht="14.25" thickBot="1">
      <c r="V309" s="82"/>
      <c r="W309" s="161"/>
    </row>
    <row r="310" spans="1:28" thickBot="1">
      <c r="A310" s="151" t="s">
        <v>465</v>
      </c>
      <c r="B310" s="173"/>
      <c r="C310" s="174"/>
      <c r="D310" s="174"/>
      <c r="E310" s="175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6"/>
      <c r="T310" s="56"/>
      <c r="U310" s="56"/>
      <c r="W310" s="177" t="s">
        <v>466</v>
      </c>
      <c r="X310" s="135"/>
      <c r="Y310" s="136"/>
    </row>
    <row r="311" spans="1:28">
      <c r="A311" s="178"/>
      <c r="B311" s="166"/>
      <c r="C311" s="179"/>
      <c r="D311" s="180"/>
      <c r="E311" s="139"/>
      <c r="F311" s="181"/>
      <c r="G311" s="182"/>
      <c r="H311" s="112"/>
      <c r="I311" s="183"/>
      <c r="J311" s="183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W311" s="184"/>
      <c r="X311" s="135"/>
      <c r="Y311" s="136"/>
    </row>
    <row r="312" spans="1:28">
      <c r="A312" s="185" t="s">
        <v>467</v>
      </c>
      <c r="B312" s="186"/>
      <c r="C312" s="186"/>
      <c r="D312" s="187"/>
      <c r="E312" s="188"/>
      <c r="F312" s="189"/>
      <c r="G312" s="103"/>
      <c r="H312" s="56"/>
      <c r="I312" s="83"/>
      <c r="J312" s="83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W312" s="190"/>
      <c r="X312" s="135"/>
      <c r="Y312" s="136"/>
    </row>
    <row r="313" spans="1:28" ht="12.75">
      <c r="A313" s="191" t="s">
        <v>468</v>
      </c>
      <c r="B313" s="192"/>
      <c r="C313" s="193"/>
      <c r="D313" s="193" t="s">
        <v>469</v>
      </c>
      <c r="E313" s="194"/>
      <c r="F313" s="195" t="s">
        <v>470</v>
      </c>
      <c r="G313" s="196">
        <f>SUM(G314:G318)</f>
        <v>23721731.518999998</v>
      </c>
      <c r="H313" s="196">
        <f>SUM(H314:H318)</f>
        <v>0.38899999999999996</v>
      </c>
      <c r="I313" s="196">
        <f t="shared" ref="I313:S313" si="77">SUM(I314:I318)</f>
        <v>-2.7357600629329681E-9</v>
      </c>
      <c r="J313" s="196">
        <f>SUM(J314:J318)</f>
        <v>512722.61699999997</v>
      </c>
      <c r="K313" s="196">
        <f t="shared" si="77"/>
        <v>0</v>
      </c>
      <c r="L313" s="196">
        <f t="shared" si="77"/>
        <v>0</v>
      </c>
      <c r="M313" s="196">
        <f>SUM(M314:M318)</f>
        <v>24234454.524999995</v>
      </c>
      <c r="N313" s="196">
        <f t="shared" si="77"/>
        <v>-482372.05899999995</v>
      </c>
      <c r="O313" s="196">
        <f t="shared" si="77"/>
        <v>0</v>
      </c>
      <c r="P313" s="196">
        <f t="shared" si="77"/>
        <v>0</v>
      </c>
      <c r="Q313" s="196">
        <f t="shared" si="77"/>
        <v>0</v>
      </c>
      <c r="R313" s="196">
        <f t="shared" si="77"/>
        <v>0</v>
      </c>
      <c r="S313" s="196">
        <f t="shared" si="77"/>
        <v>23752082.465999994</v>
      </c>
      <c r="T313" s="56"/>
      <c r="U313" s="56"/>
      <c r="W313" s="197"/>
      <c r="X313" s="135"/>
      <c r="Y313" s="136"/>
    </row>
    <row r="314" spans="1:28" ht="12.75">
      <c r="A314" s="198" t="s">
        <v>471</v>
      </c>
      <c r="B314" s="199"/>
      <c r="C314" s="18"/>
      <c r="D314" s="18" t="s">
        <v>196</v>
      </c>
      <c r="E314" s="139">
        <f>G308</f>
        <v>0.38899999999999996</v>
      </c>
      <c r="F314" s="181"/>
      <c r="G314" s="180">
        <f t="shared" ref="G314:H319" si="78">SUMIF($E$11:$E$282,$D314,G$11:G$282)*$W314</f>
        <v>23721731.518999998</v>
      </c>
      <c r="H314" s="180">
        <f t="shared" si="78"/>
        <v>0.38899999999999996</v>
      </c>
      <c r="I314" s="180">
        <f t="shared" ref="I314:I319" si="79">M314-G314-H314-J314-K314-L314</f>
        <v>-2.7357600629329681E-9</v>
      </c>
      <c r="J314" s="180">
        <f t="shared" ref="J314:J319" si="80">SUMIF($E$11:$E$282,$D314,J$11:J$282)*$W314</f>
        <v>512722.61699999997</v>
      </c>
      <c r="K314" s="180">
        <f t="shared" ref="K314:S319" si="81">SUMIF($E$11:$E$282,$D314,K$11:K$282)*$E314</f>
        <v>0</v>
      </c>
      <c r="L314" s="180">
        <f t="shared" si="81"/>
        <v>0</v>
      </c>
      <c r="M314" s="180">
        <f t="shared" si="81"/>
        <v>24234454.524999995</v>
      </c>
      <c r="N314" s="180">
        <f t="shared" si="81"/>
        <v>-482372.05899999995</v>
      </c>
      <c r="O314" s="180">
        <f t="shared" si="81"/>
        <v>0</v>
      </c>
      <c r="P314" s="180">
        <f t="shared" si="81"/>
        <v>0</v>
      </c>
      <c r="Q314" s="180">
        <f t="shared" si="81"/>
        <v>0</v>
      </c>
      <c r="R314" s="180">
        <f t="shared" si="81"/>
        <v>0</v>
      </c>
      <c r="S314" s="180">
        <f t="shared" si="81"/>
        <v>23752082.465999994</v>
      </c>
      <c r="T314" s="56"/>
      <c r="U314" s="56">
        <f t="shared" ref="U314:U319" si="82">M314/E314</f>
        <v>62299368.958868891</v>
      </c>
      <c r="W314" s="184">
        <f>H308</f>
        <v>0.38899999999999996</v>
      </c>
      <c r="X314" s="135"/>
      <c r="Y314" s="136"/>
    </row>
    <row r="315" spans="1:28" ht="12.75">
      <c r="A315" s="198" t="s">
        <v>472</v>
      </c>
      <c r="B315" s="199"/>
      <c r="C315" s="18"/>
      <c r="D315" s="18" t="s">
        <v>473</v>
      </c>
      <c r="E315" s="139">
        <f>$E$314</f>
        <v>0.38899999999999996</v>
      </c>
      <c r="F315" s="181"/>
      <c r="G315" s="180">
        <f t="shared" si="78"/>
        <v>0</v>
      </c>
      <c r="H315" s="180">
        <f t="shared" si="78"/>
        <v>0</v>
      </c>
      <c r="I315" s="180">
        <f t="shared" si="79"/>
        <v>0</v>
      </c>
      <c r="J315" s="180">
        <f t="shared" si="80"/>
        <v>0</v>
      </c>
      <c r="K315" s="180">
        <f t="shared" si="81"/>
        <v>0</v>
      </c>
      <c r="L315" s="180">
        <f t="shared" si="81"/>
        <v>0</v>
      </c>
      <c r="M315" s="180">
        <f t="shared" si="81"/>
        <v>0</v>
      </c>
      <c r="N315" s="180">
        <f t="shared" si="81"/>
        <v>0</v>
      </c>
      <c r="O315" s="180">
        <f t="shared" si="81"/>
        <v>0</v>
      </c>
      <c r="P315" s="180">
        <f t="shared" si="81"/>
        <v>0</v>
      </c>
      <c r="Q315" s="180">
        <f t="shared" si="81"/>
        <v>0</v>
      </c>
      <c r="R315" s="180">
        <f t="shared" si="81"/>
        <v>0</v>
      </c>
      <c r="S315" s="180">
        <f t="shared" si="81"/>
        <v>0</v>
      </c>
      <c r="T315" s="56"/>
      <c r="U315" s="56">
        <f t="shared" si="82"/>
        <v>0</v>
      </c>
      <c r="W315" s="184">
        <f>$W$314</f>
        <v>0.38899999999999996</v>
      </c>
      <c r="X315" s="135"/>
      <c r="Y315" s="136"/>
    </row>
    <row r="316" spans="1:28" ht="12.75">
      <c r="A316" s="198" t="s">
        <v>474</v>
      </c>
      <c r="B316" s="199"/>
      <c r="C316" s="18"/>
      <c r="D316" s="18" t="s">
        <v>475</v>
      </c>
      <c r="E316" s="139">
        <f>$E$314</f>
        <v>0.38899999999999996</v>
      </c>
      <c r="F316" s="181"/>
      <c r="G316" s="180">
        <f t="shared" si="78"/>
        <v>0</v>
      </c>
      <c r="H316" s="180">
        <f t="shared" si="78"/>
        <v>0</v>
      </c>
      <c r="I316" s="180">
        <f t="shared" si="79"/>
        <v>0</v>
      </c>
      <c r="J316" s="180">
        <f t="shared" si="80"/>
        <v>0</v>
      </c>
      <c r="K316" s="180">
        <f t="shared" si="81"/>
        <v>0</v>
      </c>
      <c r="L316" s="180">
        <f t="shared" si="81"/>
        <v>0</v>
      </c>
      <c r="M316" s="180">
        <f t="shared" si="81"/>
        <v>0</v>
      </c>
      <c r="N316" s="180">
        <f t="shared" si="81"/>
        <v>0</v>
      </c>
      <c r="O316" s="180">
        <f t="shared" si="81"/>
        <v>0</v>
      </c>
      <c r="P316" s="180">
        <f t="shared" si="81"/>
        <v>0</v>
      </c>
      <c r="Q316" s="180">
        <f t="shared" si="81"/>
        <v>0</v>
      </c>
      <c r="R316" s="180">
        <f t="shared" si="81"/>
        <v>0</v>
      </c>
      <c r="S316" s="180">
        <f t="shared" si="81"/>
        <v>0</v>
      </c>
      <c r="T316" s="56"/>
      <c r="U316" s="56">
        <f t="shared" si="82"/>
        <v>0</v>
      </c>
      <c r="W316" s="184">
        <f>$W$314</f>
        <v>0.38899999999999996</v>
      </c>
      <c r="X316" s="135"/>
      <c r="Y316" s="136"/>
    </row>
    <row r="317" spans="1:28" ht="12.75">
      <c r="A317" s="198" t="s">
        <v>476</v>
      </c>
      <c r="B317" s="199"/>
      <c r="C317" s="18"/>
      <c r="D317" s="18" t="s">
        <v>477</v>
      </c>
      <c r="E317" s="139">
        <f>$E$314</f>
        <v>0.38899999999999996</v>
      </c>
      <c r="F317" s="181"/>
      <c r="G317" s="180">
        <f t="shared" si="78"/>
        <v>0</v>
      </c>
      <c r="H317" s="180">
        <f t="shared" si="78"/>
        <v>0</v>
      </c>
      <c r="I317" s="180">
        <f t="shared" si="79"/>
        <v>0</v>
      </c>
      <c r="J317" s="180">
        <f t="shared" si="80"/>
        <v>0</v>
      </c>
      <c r="K317" s="180">
        <f t="shared" si="81"/>
        <v>0</v>
      </c>
      <c r="L317" s="180">
        <f t="shared" si="81"/>
        <v>0</v>
      </c>
      <c r="M317" s="180">
        <f t="shared" si="81"/>
        <v>0</v>
      </c>
      <c r="N317" s="180">
        <f t="shared" si="81"/>
        <v>0</v>
      </c>
      <c r="O317" s="180">
        <f t="shared" si="81"/>
        <v>0</v>
      </c>
      <c r="P317" s="180">
        <f t="shared" si="81"/>
        <v>0</v>
      </c>
      <c r="Q317" s="180">
        <f t="shared" si="81"/>
        <v>0</v>
      </c>
      <c r="R317" s="180">
        <f t="shared" si="81"/>
        <v>0</v>
      </c>
      <c r="S317" s="180">
        <f t="shared" si="81"/>
        <v>0</v>
      </c>
      <c r="T317" s="56"/>
      <c r="U317" s="56">
        <f t="shared" si="82"/>
        <v>0</v>
      </c>
      <c r="W317" s="184">
        <f>$W$314</f>
        <v>0.38899999999999996</v>
      </c>
      <c r="X317" s="135"/>
      <c r="Y317" s="136"/>
    </row>
    <row r="318" spans="1:28" ht="12.75">
      <c r="A318" s="200" t="s">
        <v>478</v>
      </c>
      <c r="B318" s="199"/>
      <c r="C318" s="201"/>
      <c r="D318" s="201"/>
      <c r="E318" s="139">
        <f>$E$314</f>
        <v>0.38899999999999996</v>
      </c>
      <c r="F318" s="181"/>
      <c r="G318" s="180">
        <f t="shared" si="78"/>
        <v>0</v>
      </c>
      <c r="H318" s="180">
        <f t="shared" si="78"/>
        <v>0</v>
      </c>
      <c r="I318" s="180">
        <f t="shared" si="79"/>
        <v>0</v>
      </c>
      <c r="J318" s="180">
        <f t="shared" si="80"/>
        <v>0</v>
      </c>
      <c r="K318" s="180">
        <f t="shared" si="81"/>
        <v>0</v>
      </c>
      <c r="L318" s="180">
        <f t="shared" si="81"/>
        <v>0</v>
      </c>
      <c r="M318" s="180">
        <f t="shared" si="81"/>
        <v>0</v>
      </c>
      <c r="N318" s="180">
        <f t="shared" si="81"/>
        <v>0</v>
      </c>
      <c r="O318" s="180">
        <f t="shared" si="81"/>
        <v>0</v>
      </c>
      <c r="P318" s="180">
        <f t="shared" si="81"/>
        <v>0</v>
      </c>
      <c r="Q318" s="180">
        <f t="shared" si="81"/>
        <v>0</v>
      </c>
      <c r="R318" s="180">
        <f t="shared" si="81"/>
        <v>0</v>
      </c>
      <c r="S318" s="180">
        <f t="shared" si="81"/>
        <v>0</v>
      </c>
      <c r="T318" s="56"/>
      <c r="U318" s="56">
        <f t="shared" si="82"/>
        <v>0</v>
      </c>
      <c r="W318" s="184">
        <f>$W$314</f>
        <v>0.38899999999999996</v>
      </c>
      <c r="X318" s="135"/>
      <c r="Y318" s="136"/>
    </row>
    <row r="319" spans="1:28" ht="12.75">
      <c r="A319" s="191" t="s">
        <v>479</v>
      </c>
      <c r="B319" s="192"/>
      <c r="C319" s="193"/>
      <c r="D319" s="193" t="s">
        <v>316</v>
      </c>
      <c r="E319" s="194">
        <f>$E$314</f>
        <v>0.38899999999999996</v>
      </c>
      <c r="F319" s="195" t="s">
        <v>470</v>
      </c>
      <c r="G319" s="196">
        <f t="shared" si="78"/>
        <v>374770.22828999994</v>
      </c>
      <c r="H319" s="196">
        <f t="shared" si="78"/>
        <v>0</v>
      </c>
      <c r="I319" s="196">
        <f t="shared" si="79"/>
        <v>0</v>
      </c>
      <c r="J319" s="196">
        <f t="shared" si="80"/>
        <v>0</v>
      </c>
      <c r="K319" s="196">
        <f t="shared" si="81"/>
        <v>0</v>
      </c>
      <c r="L319" s="196">
        <f t="shared" si="81"/>
        <v>0</v>
      </c>
      <c r="M319" s="196">
        <f t="shared" si="81"/>
        <v>374770.22828999994</v>
      </c>
      <c r="N319" s="196">
        <f t="shared" si="81"/>
        <v>0</v>
      </c>
      <c r="O319" s="196">
        <f t="shared" si="81"/>
        <v>0</v>
      </c>
      <c r="P319" s="196">
        <f t="shared" si="81"/>
        <v>-32986.048560000003</v>
      </c>
      <c r="Q319" s="196">
        <f t="shared" si="81"/>
        <v>0</v>
      </c>
      <c r="R319" s="196">
        <f t="shared" si="81"/>
        <v>0</v>
      </c>
      <c r="S319" s="196">
        <f t="shared" si="81"/>
        <v>341784.17972999992</v>
      </c>
      <c r="T319" s="56"/>
      <c r="U319" s="56">
        <f t="shared" si="82"/>
        <v>963419.61</v>
      </c>
      <c r="W319" s="197">
        <f>$W$314</f>
        <v>0.38899999999999996</v>
      </c>
      <c r="X319" s="135"/>
      <c r="Y319" s="136"/>
    </row>
    <row r="320" spans="1:28" ht="12.75">
      <c r="A320" s="191" t="s">
        <v>480</v>
      </c>
      <c r="B320" s="192"/>
      <c r="C320" s="193"/>
      <c r="D320" s="193" t="s">
        <v>481</v>
      </c>
      <c r="E320" s="194"/>
      <c r="F320" s="195" t="s">
        <v>470</v>
      </c>
      <c r="G320" s="196">
        <f>SUM(G321:G323)</f>
        <v>583330.55103789247</v>
      </c>
      <c r="H320" s="196">
        <f>SUM(H321:H323)</f>
        <v>-52131.445999999996</v>
      </c>
      <c r="I320" s="196">
        <f t="shared" ref="I320:S320" si="83">SUM(I321:I323)</f>
        <v>0</v>
      </c>
      <c r="J320" s="196">
        <f>SUM(J321:J323)</f>
        <v>0</v>
      </c>
      <c r="K320" s="196">
        <f t="shared" si="83"/>
        <v>0</v>
      </c>
      <c r="L320" s="196">
        <f t="shared" si="83"/>
        <v>0</v>
      </c>
      <c r="M320" s="196">
        <f>SUM(M321:M323)</f>
        <v>531199.10503789247</v>
      </c>
      <c r="N320" s="196">
        <f t="shared" si="83"/>
        <v>0</v>
      </c>
      <c r="O320" s="196">
        <f t="shared" si="83"/>
        <v>0</v>
      </c>
      <c r="P320" s="196">
        <f t="shared" si="83"/>
        <v>0</v>
      </c>
      <c r="Q320" s="196">
        <f t="shared" si="83"/>
        <v>0</v>
      </c>
      <c r="R320" s="196">
        <f t="shared" si="83"/>
        <v>0</v>
      </c>
      <c r="S320" s="196">
        <f t="shared" si="83"/>
        <v>531199.10503789247</v>
      </c>
      <c r="T320" s="56"/>
      <c r="U320" s="56"/>
      <c r="W320" s="197"/>
      <c r="Z320" s="56"/>
      <c r="AA320" s="56"/>
      <c r="AB320" s="58"/>
    </row>
    <row r="321" spans="1:25" ht="12.75">
      <c r="A321" s="198" t="s">
        <v>482</v>
      </c>
      <c r="B321" s="199"/>
      <c r="C321" s="18"/>
      <c r="D321" s="18" t="s">
        <v>173</v>
      </c>
      <c r="E321" s="139">
        <f>$E$314</f>
        <v>0.38899999999999996</v>
      </c>
      <c r="F321" s="181"/>
      <c r="G321" s="180">
        <f t="shared" ref="G321:H323" si="84">SUMIF($E$11:$E$282,$D321,G$11:G$282)*$W321</f>
        <v>242601.57659789256</v>
      </c>
      <c r="H321" s="180">
        <f t="shared" si="84"/>
        <v>-52131.445999999996</v>
      </c>
      <c r="I321" s="180">
        <f>M321-G321-H321-J321-K321-L321</f>
        <v>0</v>
      </c>
      <c r="J321" s="180">
        <f>SUMIF($E$11:$E$282,$D321,J$11:J$282)*$W321</f>
        <v>0</v>
      </c>
      <c r="K321" s="180">
        <f t="shared" ref="K321:S323" si="85">SUMIF($E$11:$E$282,$D321,K$11:K$282)*$E321</f>
        <v>0</v>
      </c>
      <c r="L321" s="180">
        <f t="shared" si="85"/>
        <v>0</v>
      </c>
      <c r="M321" s="180">
        <f t="shared" si="85"/>
        <v>190470.13059789257</v>
      </c>
      <c r="N321" s="180">
        <f t="shared" si="85"/>
        <v>0</v>
      </c>
      <c r="O321" s="180">
        <f t="shared" si="85"/>
        <v>0</v>
      </c>
      <c r="P321" s="180">
        <f t="shared" si="85"/>
        <v>0</v>
      </c>
      <c r="Q321" s="180">
        <f t="shared" si="85"/>
        <v>0</v>
      </c>
      <c r="R321" s="180">
        <f t="shared" si="85"/>
        <v>0</v>
      </c>
      <c r="S321" s="180">
        <f t="shared" si="85"/>
        <v>190470.13059789257</v>
      </c>
      <c r="U321" s="56">
        <f>M321/E321</f>
        <v>489640.43855499377</v>
      </c>
      <c r="W321" s="184">
        <f>$W$314</f>
        <v>0.38899999999999996</v>
      </c>
      <c r="X321" s="82"/>
      <c r="Y321" s="161"/>
    </row>
    <row r="322" spans="1:25" ht="12.75">
      <c r="A322" s="198" t="s">
        <v>483</v>
      </c>
      <c r="B322" s="199"/>
      <c r="C322" s="18"/>
      <c r="D322" s="18" t="s">
        <v>211</v>
      </c>
      <c r="E322" s="139">
        <f>$E$314</f>
        <v>0.38899999999999996</v>
      </c>
      <c r="F322" s="181"/>
      <c r="G322" s="180">
        <f t="shared" si="84"/>
        <v>340728.97443999996</v>
      </c>
      <c r="H322" s="180">
        <f t="shared" si="84"/>
        <v>0</v>
      </c>
      <c r="I322" s="180">
        <f>M322-G322-H322-J322-K322-L322</f>
        <v>0</v>
      </c>
      <c r="J322" s="180">
        <f>SUMIF($E$11:$E$282,$D322,J$11:J$282)*$W322</f>
        <v>0</v>
      </c>
      <c r="K322" s="180">
        <f t="shared" si="85"/>
        <v>0</v>
      </c>
      <c r="L322" s="180">
        <f t="shared" si="85"/>
        <v>0</v>
      </c>
      <c r="M322" s="180">
        <f t="shared" si="85"/>
        <v>340728.97443999996</v>
      </c>
      <c r="N322" s="180">
        <f t="shared" si="85"/>
        <v>0</v>
      </c>
      <c r="O322" s="180">
        <f t="shared" si="85"/>
        <v>0</v>
      </c>
      <c r="P322" s="180">
        <f t="shared" si="85"/>
        <v>0</v>
      </c>
      <c r="Q322" s="180">
        <f t="shared" si="85"/>
        <v>0</v>
      </c>
      <c r="R322" s="180">
        <f t="shared" si="85"/>
        <v>0</v>
      </c>
      <c r="S322" s="180">
        <f t="shared" si="85"/>
        <v>340728.97443999996</v>
      </c>
      <c r="U322" s="56">
        <f>M322/E322</f>
        <v>875909.96</v>
      </c>
      <c r="W322" s="184">
        <f>$W$314</f>
        <v>0.38899999999999996</v>
      </c>
      <c r="X322" s="82"/>
      <c r="Y322" s="161"/>
    </row>
    <row r="323" spans="1:25" ht="12.75">
      <c r="A323" s="198" t="s">
        <v>484</v>
      </c>
      <c r="B323" s="199"/>
      <c r="C323" s="18"/>
      <c r="D323" s="18" t="s">
        <v>485</v>
      </c>
      <c r="E323" s="139">
        <f>$E$314</f>
        <v>0.38899999999999996</v>
      </c>
      <c r="F323" s="181"/>
      <c r="G323" s="180">
        <f t="shared" si="84"/>
        <v>0</v>
      </c>
      <c r="H323" s="180">
        <f t="shared" si="84"/>
        <v>0</v>
      </c>
      <c r="I323" s="180">
        <f>M323-G323-H323-J323-K323-L323</f>
        <v>0</v>
      </c>
      <c r="J323" s="180">
        <f>SUMIF($E$11:$E$282,$D323,J$11:J$282)*$W323</f>
        <v>0</v>
      </c>
      <c r="K323" s="180">
        <f t="shared" si="85"/>
        <v>0</v>
      </c>
      <c r="L323" s="180">
        <f t="shared" si="85"/>
        <v>0</v>
      </c>
      <c r="M323" s="180">
        <f t="shared" si="85"/>
        <v>0</v>
      </c>
      <c r="N323" s="180">
        <f t="shared" si="85"/>
        <v>0</v>
      </c>
      <c r="O323" s="180">
        <f t="shared" si="85"/>
        <v>0</v>
      </c>
      <c r="P323" s="180">
        <f t="shared" si="85"/>
        <v>0</v>
      </c>
      <c r="Q323" s="180">
        <f t="shared" si="85"/>
        <v>0</v>
      </c>
      <c r="R323" s="180">
        <f t="shared" si="85"/>
        <v>0</v>
      </c>
      <c r="S323" s="180">
        <f t="shared" si="85"/>
        <v>0</v>
      </c>
      <c r="U323" s="56">
        <f>M323/E323</f>
        <v>0</v>
      </c>
      <c r="W323" s="184">
        <f>$W$314</f>
        <v>0.38899999999999996</v>
      </c>
      <c r="X323" s="56"/>
      <c r="Y323" s="161"/>
    </row>
    <row r="324" spans="1:25" ht="12.75">
      <c r="A324" s="191" t="s">
        <v>486</v>
      </c>
      <c r="B324" s="193"/>
      <c r="C324" s="193"/>
      <c r="D324" s="193" t="s">
        <v>487</v>
      </c>
      <c r="E324" s="194"/>
      <c r="F324" s="195" t="s">
        <v>470</v>
      </c>
      <c r="G324" s="196">
        <f>SUM(G325:G337)</f>
        <v>20139330.553111069</v>
      </c>
      <c r="H324" s="196">
        <f>SUM(H325:H337)</f>
        <v>-19516477.570999999</v>
      </c>
      <c r="I324" s="196">
        <f t="shared" ref="I324:S324" si="86">SUM(I325:I337)</f>
        <v>1.4624674804508686E-9</v>
      </c>
      <c r="J324" s="196">
        <f>SUM(J325:J337)</f>
        <v>-312173.39999999997</v>
      </c>
      <c r="K324" s="196">
        <f t="shared" si="86"/>
        <v>84672</v>
      </c>
      <c r="L324" s="196">
        <f t="shared" si="86"/>
        <v>0</v>
      </c>
      <c r="M324" s="196">
        <f>SUM(M325:M337)</f>
        <v>395351.58211107057</v>
      </c>
      <c r="N324" s="196">
        <f t="shared" si="86"/>
        <v>0</v>
      </c>
      <c r="O324" s="196">
        <f t="shared" si="86"/>
        <v>0</v>
      </c>
      <c r="P324" s="196">
        <f t="shared" si="86"/>
        <v>0</v>
      </c>
      <c r="Q324" s="196">
        <f t="shared" si="86"/>
        <v>0</v>
      </c>
      <c r="R324" s="196">
        <f t="shared" si="86"/>
        <v>-42560</v>
      </c>
      <c r="S324" s="196">
        <f t="shared" si="86"/>
        <v>352791.58211107057</v>
      </c>
      <c r="U324" s="56"/>
      <c r="W324" s="197"/>
      <c r="X324" s="56"/>
      <c r="Y324" s="161"/>
    </row>
    <row r="325" spans="1:25" ht="12.75">
      <c r="A325" s="198" t="s">
        <v>488</v>
      </c>
      <c r="C325" s="199" t="s">
        <v>489</v>
      </c>
      <c r="D325" s="18" t="s">
        <v>325</v>
      </c>
      <c r="E325" s="139">
        <f>G305</f>
        <v>0.35</v>
      </c>
      <c r="F325" s="181"/>
      <c r="G325" s="180">
        <f t="shared" ref="G325:H337" si="87">SUMIF($E$11:$E$282,$D325,G$11:G$282)*$W325</f>
        <v>20008100.488111068</v>
      </c>
      <c r="H325" s="180">
        <f t="shared" si="87"/>
        <v>-19576227.649999999</v>
      </c>
      <c r="I325" s="180">
        <f t="shared" ref="I325:I337" si="88">M325-G325-H325-J325-K325-L325</f>
        <v>1.4551915228366852E-9</v>
      </c>
      <c r="J325" s="180">
        <f t="shared" ref="J325:J337" si="89">SUMIF($E$11:$E$282,$D325,J$11:J$282)*$W325</f>
        <v>-312173.39999999997</v>
      </c>
      <c r="K325" s="180">
        <f t="shared" ref="K325:S337" si="90">SUMIF($E$11:$E$282,$D325,K$11:K$282)*$E325</f>
        <v>84672</v>
      </c>
      <c r="L325" s="180">
        <f t="shared" si="90"/>
        <v>0</v>
      </c>
      <c r="M325" s="180">
        <f t="shared" si="90"/>
        <v>204371.43811107054</v>
      </c>
      <c r="N325" s="180">
        <f t="shared" si="90"/>
        <v>0</v>
      </c>
      <c r="O325" s="180">
        <f t="shared" si="90"/>
        <v>0</v>
      </c>
      <c r="P325" s="180">
        <f t="shared" si="90"/>
        <v>0</v>
      </c>
      <c r="Q325" s="180">
        <f t="shared" si="90"/>
        <v>0</v>
      </c>
      <c r="R325" s="180">
        <f t="shared" si="90"/>
        <v>-42560</v>
      </c>
      <c r="S325" s="180">
        <f t="shared" si="90"/>
        <v>161811.43811107054</v>
      </c>
      <c r="U325" s="56">
        <f t="shared" ref="U325:U337" si="91">M325/E325</f>
        <v>583918.3946030587</v>
      </c>
      <c r="W325" s="184">
        <v>0.35</v>
      </c>
      <c r="X325" s="56"/>
      <c r="Y325" s="161"/>
    </row>
    <row r="326" spans="1:25" ht="12.75">
      <c r="A326" s="198" t="s">
        <v>490</v>
      </c>
      <c r="C326" s="199" t="s">
        <v>489</v>
      </c>
      <c r="D326" s="18" t="s">
        <v>347</v>
      </c>
      <c r="E326" s="139">
        <f>$E$325</f>
        <v>0.35</v>
      </c>
      <c r="F326" s="181"/>
      <c r="G326" s="180">
        <f t="shared" si="87"/>
        <v>0</v>
      </c>
      <c r="H326" s="180">
        <f t="shared" si="87"/>
        <v>0</v>
      </c>
      <c r="I326" s="180">
        <f t="shared" si="88"/>
        <v>0</v>
      </c>
      <c r="J326" s="180">
        <f t="shared" si="89"/>
        <v>0</v>
      </c>
      <c r="K326" s="180">
        <f t="shared" si="90"/>
        <v>0</v>
      </c>
      <c r="L326" s="180">
        <f t="shared" si="90"/>
        <v>0</v>
      </c>
      <c r="M326" s="180">
        <f t="shared" si="90"/>
        <v>0</v>
      </c>
      <c r="N326" s="180">
        <f t="shared" si="90"/>
        <v>0</v>
      </c>
      <c r="O326" s="180">
        <f t="shared" si="90"/>
        <v>0</v>
      </c>
      <c r="P326" s="180">
        <f t="shared" si="90"/>
        <v>0</v>
      </c>
      <c r="Q326" s="180">
        <f t="shared" si="90"/>
        <v>0</v>
      </c>
      <c r="R326" s="180">
        <f t="shared" si="90"/>
        <v>0</v>
      </c>
      <c r="S326" s="180">
        <f t="shared" si="90"/>
        <v>0</v>
      </c>
      <c r="U326" s="56">
        <f t="shared" si="91"/>
        <v>0</v>
      </c>
      <c r="W326" s="184">
        <f>$E$325</f>
        <v>0.35</v>
      </c>
      <c r="X326" s="56"/>
      <c r="Y326" s="161"/>
    </row>
    <row r="327" spans="1:25" ht="12.75">
      <c r="A327" s="198" t="s">
        <v>491</v>
      </c>
      <c r="C327" s="202" t="s">
        <v>492</v>
      </c>
      <c r="D327" s="18" t="s">
        <v>400</v>
      </c>
      <c r="E327" s="139">
        <v>1</v>
      </c>
      <c r="F327" s="181"/>
      <c r="G327" s="180">
        <f t="shared" si="87"/>
        <v>0</v>
      </c>
      <c r="H327" s="180">
        <f t="shared" si="87"/>
        <v>0</v>
      </c>
      <c r="I327" s="180">
        <f t="shared" si="88"/>
        <v>0</v>
      </c>
      <c r="J327" s="180">
        <f t="shared" si="89"/>
        <v>0</v>
      </c>
      <c r="K327" s="180">
        <f t="shared" si="90"/>
        <v>0</v>
      </c>
      <c r="L327" s="180">
        <f t="shared" si="90"/>
        <v>0</v>
      </c>
      <c r="M327" s="180">
        <f t="shared" si="90"/>
        <v>0</v>
      </c>
      <c r="N327" s="180">
        <f t="shared" si="90"/>
        <v>0</v>
      </c>
      <c r="O327" s="180">
        <f t="shared" si="90"/>
        <v>0</v>
      </c>
      <c r="P327" s="180">
        <f t="shared" si="90"/>
        <v>0</v>
      </c>
      <c r="Q327" s="180">
        <f t="shared" si="90"/>
        <v>0</v>
      </c>
      <c r="R327" s="180">
        <f t="shared" si="90"/>
        <v>0</v>
      </c>
      <c r="S327" s="180">
        <f t="shared" si="90"/>
        <v>0</v>
      </c>
      <c r="U327" s="56">
        <f t="shared" si="91"/>
        <v>0</v>
      </c>
      <c r="W327" s="184">
        <v>1</v>
      </c>
      <c r="X327" s="56"/>
      <c r="Y327" s="161"/>
    </row>
    <row r="328" spans="1:25" ht="12.75">
      <c r="A328" s="198" t="s">
        <v>493</v>
      </c>
      <c r="C328" s="202" t="s">
        <v>492</v>
      </c>
      <c r="D328" s="18" t="s">
        <v>494</v>
      </c>
      <c r="E328" s="139">
        <v>1</v>
      </c>
      <c r="F328" s="181"/>
      <c r="G328" s="180">
        <f t="shared" si="87"/>
        <v>0</v>
      </c>
      <c r="H328" s="180">
        <f t="shared" si="87"/>
        <v>0</v>
      </c>
      <c r="I328" s="180">
        <f t="shared" si="88"/>
        <v>0</v>
      </c>
      <c r="J328" s="180">
        <f t="shared" si="89"/>
        <v>0</v>
      </c>
      <c r="K328" s="180">
        <f t="shared" si="90"/>
        <v>0</v>
      </c>
      <c r="L328" s="180">
        <f t="shared" si="90"/>
        <v>0</v>
      </c>
      <c r="M328" s="180">
        <f t="shared" si="90"/>
        <v>0</v>
      </c>
      <c r="N328" s="180">
        <f t="shared" si="90"/>
        <v>0</v>
      </c>
      <c r="O328" s="180">
        <f t="shared" si="90"/>
        <v>0</v>
      </c>
      <c r="P328" s="180">
        <f t="shared" si="90"/>
        <v>0</v>
      </c>
      <c r="Q328" s="180">
        <f t="shared" si="90"/>
        <v>0</v>
      </c>
      <c r="R328" s="180">
        <f t="shared" si="90"/>
        <v>0</v>
      </c>
      <c r="S328" s="180">
        <f t="shared" si="90"/>
        <v>0</v>
      </c>
      <c r="U328" s="56">
        <f t="shared" si="91"/>
        <v>0</v>
      </c>
      <c r="W328" s="184">
        <v>1</v>
      </c>
      <c r="X328" s="56"/>
      <c r="Y328" s="161"/>
    </row>
    <row r="329" spans="1:25" ht="12.75">
      <c r="A329" s="198" t="s">
        <v>495</v>
      </c>
      <c r="C329" s="199" t="s">
        <v>489</v>
      </c>
      <c r="D329" s="18" t="s">
        <v>330</v>
      </c>
      <c r="E329" s="139">
        <f>$E$325</f>
        <v>0.35</v>
      </c>
      <c r="F329" s="181"/>
      <c r="G329" s="180">
        <f t="shared" si="87"/>
        <v>108369.79999999999</v>
      </c>
      <c r="H329" s="180">
        <f t="shared" si="87"/>
        <v>49423.85</v>
      </c>
      <c r="I329" s="180">
        <f t="shared" si="88"/>
        <v>7.2759576141834259E-12</v>
      </c>
      <c r="J329" s="180">
        <f t="shared" si="89"/>
        <v>0</v>
      </c>
      <c r="K329" s="180">
        <f t="shared" si="90"/>
        <v>0</v>
      </c>
      <c r="L329" s="180">
        <f t="shared" si="90"/>
        <v>0</v>
      </c>
      <c r="M329" s="180">
        <f t="shared" si="90"/>
        <v>157793.65</v>
      </c>
      <c r="N329" s="180">
        <f t="shared" si="90"/>
        <v>0</v>
      </c>
      <c r="O329" s="180">
        <f t="shared" si="90"/>
        <v>0</v>
      </c>
      <c r="P329" s="180">
        <f t="shared" si="90"/>
        <v>0</v>
      </c>
      <c r="Q329" s="180">
        <f t="shared" si="90"/>
        <v>0</v>
      </c>
      <c r="R329" s="180">
        <f t="shared" si="90"/>
        <v>0</v>
      </c>
      <c r="S329" s="180">
        <f t="shared" si="90"/>
        <v>157793.65</v>
      </c>
      <c r="U329" s="56">
        <f t="shared" si="91"/>
        <v>450839</v>
      </c>
      <c r="W329" s="184">
        <f>$E$325</f>
        <v>0.35</v>
      </c>
      <c r="X329" s="56"/>
      <c r="Y329" s="161"/>
    </row>
    <row r="330" spans="1:25" ht="12.75">
      <c r="A330" s="198" t="s">
        <v>496</v>
      </c>
      <c r="C330" s="202" t="s">
        <v>492</v>
      </c>
      <c r="D330" s="18" t="s">
        <v>403</v>
      </c>
      <c r="E330" s="139">
        <v>1</v>
      </c>
      <c r="F330" s="181"/>
      <c r="G330" s="180">
        <f t="shared" si="87"/>
        <v>16420</v>
      </c>
      <c r="H330" s="180">
        <f t="shared" si="87"/>
        <v>4819</v>
      </c>
      <c r="I330" s="180">
        <f t="shared" si="88"/>
        <v>0</v>
      </c>
      <c r="J330" s="180">
        <f t="shared" si="89"/>
        <v>0</v>
      </c>
      <c r="K330" s="180">
        <f t="shared" si="90"/>
        <v>0</v>
      </c>
      <c r="L330" s="180">
        <f t="shared" si="90"/>
        <v>0</v>
      </c>
      <c r="M330" s="180">
        <f t="shared" si="90"/>
        <v>21239</v>
      </c>
      <c r="N330" s="180">
        <f t="shared" si="90"/>
        <v>0</v>
      </c>
      <c r="O330" s="180">
        <f t="shared" si="90"/>
        <v>0</v>
      </c>
      <c r="P330" s="180">
        <f t="shared" si="90"/>
        <v>0</v>
      </c>
      <c r="Q330" s="180">
        <f t="shared" si="90"/>
        <v>0</v>
      </c>
      <c r="R330" s="180">
        <f t="shared" si="90"/>
        <v>0</v>
      </c>
      <c r="S330" s="180">
        <f t="shared" si="90"/>
        <v>21239</v>
      </c>
      <c r="U330" s="56">
        <f t="shared" si="91"/>
        <v>21239</v>
      </c>
      <c r="W330" s="184">
        <v>1</v>
      </c>
      <c r="X330" s="56"/>
      <c r="Y330" s="161"/>
    </row>
    <row r="331" spans="1:25" ht="12.75">
      <c r="A331" s="198" t="s">
        <v>497</v>
      </c>
      <c r="C331" s="199" t="s">
        <v>489</v>
      </c>
      <c r="D331" s="18" t="s">
        <v>498</v>
      </c>
      <c r="E331" s="139">
        <f>$E$325</f>
        <v>0.35</v>
      </c>
      <c r="F331" s="181"/>
      <c r="G331" s="180">
        <f t="shared" si="87"/>
        <v>0</v>
      </c>
      <c r="H331" s="180">
        <f t="shared" si="87"/>
        <v>0</v>
      </c>
      <c r="I331" s="180">
        <f t="shared" si="88"/>
        <v>0</v>
      </c>
      <c r="J331" s="180">
        <f t="shared" si="89"/>
        <v>0</v>
      </c>
      <c r="K331" s="180">
        <f t="shared" si="90"/>
        <v>0</v>
      </c>
      <c r="L331" s="180">
        <f t="shared" si="90"/>
        <v>0</v>
      </c>
      <c r="M331" s="180">
        <f t="shared" si="90"/>
        <v>0</v>
      </c>
      <c r="N331" s="180">
        <f t="shared" si="90"/>
        <v>0</v>
      </c>
      <c r="O331" s="180">
        <f t="shared" si="90"/>
        <v>0</v>
      </c>
      <c r="P331" s="180">
        <f t="shared" si="90"/>
        <v>0</v>
      </c>
      <c r="Q331" s="180">
        <f t="shared" si="90"/>
        <v>0</v>
      </c>
      <c r="R331" s="180">
        <f t="shared" si="90"/>
        <v>0</v>
      </c>
      <c r="S331" s="180">
        <f t="shared" si="90"/>
        <v>0</v>
      </c>
      <c r="U331" s="56">
        <f t="shared" si="91"/>
        <v>0</v>
      </c>
      <c r="W331" s="184">
        <f>$E$325</f>
        <v>0.35</v>
      </c>
      <c r="X331" s="56"/>
      <c r="Y331" s="161"/>
    </row>
    <row r="332" spans="1:25" ht="12.75">
      <c r="A332" s="198" t="s">
        <v>497</v>
      </c>
      <c r="C332" s="199" t="s">
        <v>489</v>
      </c>
      <c r="D332" s="18" t="s">
        <v>499</v>
      </c>
      <c r="E332" s="139">
        <f>$E$325</f>
        <v>0.35</v>
      </c>
      <c r="F332" s="181"/>
      <c r="G332" s="180">
        <f t="shared" si="87"/>
        <v>0</v>
      </c>
      <c r="H332" s="180">
        <f t="shared" si="87"/>
        <v>0</v>
      </c>
      <c r="I332" s="180">
        <f t="shared" si="88"/>
        <v>0</v>
      </c>
      <c r="J332" s="180">
        <f t="shared" si="89"/>
        <v>0</v>
      </c>
      <c r="K332" s="180">
        <f t="shared" si="90"/>
        <v>0</v>
      </c>
      <c r="L332" s="180">
        <f t="shared" si="90"/>
        <v>0</v>
      </c>
      <c r="M332" s="180">
        <f t="shared" si="90"/>
        <v>0</v>
      </c>
      <c r="N332" s="180">
        <f t="shared" si="90"/>
        <v>0</v>
      </c>
      <c r="O332" s="180">
        <f t="shared" si="90"/>
        <v>0</v>
      </c>
      <c r="P332" s="180">
        <f t="shared" si="90"/>
        <v>0</v>
      </c>
      <c r="Q332" s="180">
        <f t="shared" si="90"/>
        <v>0</v>
      </c>
      <c r="R332" s="180">
        <f t="shared" si="90"/>
        <v>0</v>
      </c>
      <c r="S332" s="180">
        <f t="shared" si="90"/>
        <v>0</v>
      </c>
      <c r="U332" s="56">
        <f t="shared" si="91"/>
        <v>0</v>
      </c>
      <c r="W332" s="184">
        <f>$E$325</f>
        <v>0.35</v>
      </c>
      <c r="X332" s="56"/>
      <c r="Y332" s="161"/>
    </row>
    <row r="333" spans="1:25" ht="12.75">
      <c r="A333" s="198" t="s">
        <v>500</v>
      </c>
      <c r="C333" s="199" t="s">
        <v>501</v>
      </c>
      <c r="D333" s="18" t="s">
        <v>353</v>
      </c>
      <c r="E333" s="139">
        <f>G306+G307</f>
        <v>3.9E-2</v>
      </c>
      <c r="F333" s="181"/>
      <c r="G333" s="180">
        <f t="shared" si="87"/>
        <v>0</v>
      </c>
      <c r="H333" s="180">
        <f t="shared" si="87"/>
        <v>0</v>
      </c>
      <c r="I333" s="180">
        <f t="shared" si="88"/>
        <v>0</v>
      </c>
      <c r="J333" s="180">
        <f t="shared" si="89"/>
        <v>0</v>
      </c>
      <c r="K333" s="180">
        <f t="shared" si="90"/>
        <v>0</v>
      </c>
      <c r="L333" s="180">
        <f t="shared" si="90"/>
        <v>0</v>
      </c>
      <c r="M333" s="180">
        <f t="shared" si="90"/>
        <v>0</v>
      </c>
      <c r="N333" s="180">
        <f t="shared" si="90"/>
        <v>0</v>
      </c>
      <c r="O333" s="180">
        <f t="shared" si="90"/>
        <v>0</v>
      </c>
      <c r="P333" s="180">
        <f t="shared" si="90"/>
        <v>0</v>
      </c>
      <c r="Q333" s="180">
        <f t="shared" si="90"/>
        <v>0</v>
      </c>
      <c r="R333" s="180">
        <f t="shared" si="90"/>
        <v>0</v>
      </c>
      <c r="S333" s="180">
        <f t="shared" si="90"/>
        <v>0</v>
      </c>
      <c r="U333" s="56">
        <f t="shared" si="91"/>
        <v>0</v>
      </c>
      <c r="W333" s="184">
        <f>H306+H307</f>
        <v>3.9E-2</v>
      </c>
      <c r="X333" s="56"/>
      <c r="Y333" s="161"/>
    </row>
    <row r="334" spans="1:25" ht="12.75">
      <c r="A334" s="198" t="s">
        <v>502</v>
      </c>
      <c r="C334" s="202" t="s">
        <v>492</v>
      </c>
      <c r="D334" s="18" t="s">
        <v>378</v>
      </c>
      <c r="E334" s="139">
        <v>0.65</v>
      </c>
      <c r="F334" s="181"/>
      <c r="G334" s="180">
        <f t="shared" si="87"/>
        <v>0</v>
      </c>
      <c r="H334" s="180">
        <f t="shared" si="87"/>
        <v>0</v>
      </c>
      <c r="I334" s="180">
        <f t="shared" si="88"/>
        <v>0</v>
      </c>
      <c r="J334" s="180">
        <f t="shared" si="89"/>
        <v>0</v>
      </c>
      <c r="K334" s="180">
        <f t="shared" si="90"/>
        <v>0</v>
      </c>
      <c r="L334" s="180">
        <f t="shared" si="90"/>
        <v>0</v>
      </c>
      <c r="M334" s="180">
        <f t="shared" si="90"/>
        <v>0</v>
      </c>
      <c r="N334" s="180">
        <f t="shared" si="90"/>
        <v>0</v>
      </c>
      <c r="O334" s="180">
        <f t="shared" si="90"/>
        <v>0</v>
      </c>
      <c r="P334" s="180">
        <f t="shared" si="90"/>
        <v>0</v>
      </c>
      <c r="Q334" s="180">
        <f t="shared" si="90"/>
        <v>0</v>
      </c>
      <c r="R334" s="180">
        <f t="shared" si="90"/>
        <v>0</v>
      </c>
      <c r="S334" s="180">
        <f t="shared" si="90"/>
        <v>0</v>
      </c>
      <c r="U334" s="56">
        <f t="shared" si="91"/>
        <v>0</v>
      </c>
      <c r="W334" s="184">
        <v>0.65</v>
      </c>
      <c r="X334" s="56"/>
      <c r="Y334" s="161"/>
    </row>
    <row r="335" spans="1:25" ht="12.75">
      <c r="A335" s="198" t="s">
        <v>503</v>
      </c>
      <c r="C335" s="199" t="s">
        <v>501</v>
      </c>
      <c r="D335" s="18" t="s">
        <v>356</v>
      </c>
      <c r="E335" s="139">
        <f>$E$333</f>
        <v>3.9E-2</v>
      </c>
      <c r="F335" s="181"/>
      <c r="G335" s="180">
        <f t="shared" si="87"/>
        <v>6440.2650000000003</v>
      </c>
      <c r="H335" s="180">
        <f t="shared" si="87"/>
        <v>5507.2290000000003</v>
      </c>
      <c r="I335" s="180">
        <f t="shared" si="88"/>
        <v>0</v>
      </c>
      <c r="J335" s="180">
        <f t="shared" si="89"/>
        <v>0</v>
      </c>
      <c r="K335" s="180">
        <f t="shared" si="90"/>
        <v>0</v>
      </c>
      <c r="L335" s="180">
        <f t="shared" si="90"/>
        <v>0</v>
      </c>
      <c r="M335" s="180">
        <f t="shared" si="90"/>
        <v>11947.494000000001</v>
      </c>
      <c r="N335" s="180">
        <f t="shared" si="90"/>
        <v>0</v>
      </c>
      <c r="O335" s="180">
        <f t="shared" si="90"/>
        <v>0</v>
      </c>
      <c r="P335" s="180">
        <f t="shared" si="90"/>
        <v>0</v>
      </c>
      <c r="Q335" s="180">
        <f t="shared" si="90"/>
        <v>0</v>
      </c>
      <c r="R335" s="180">
        <f t="shared" si="90"/>
        <v>0</v>
      </c>
      <c r="S335" s="180">
        <f t="shared" si="90"/>
        <v>11947.494000000001</v>
      </c>
      <c r="U335" s="56">
        <f t="shared" si="91"/>
        <v>306346</v>
      </c>
      <c r="W335" s="184">
        <f>$W$333</f>
        <v>3.9E-2</v>
      </c>
      <c r="X335" s="56"/>
      <c r="Y335" s="161"/>
    </row>
    <row r="336" spans="1:25" ht="12.75">
      <c r="A336" s="198" t="s">
        <v>504</v>
      </c>
      <c r="C336" s="199" t="s">
        <v>501</v>
      </c>
      <c r="D336" s="18" t="s">
        <v>359</v>
      </c>
      <c r="E336" s="139">
        <f>$E$333</f>
        <v>3.9E-2</v>
      </c>
      <c r="F336" s="181"/>
      <c r="G336" s="180">
        <f t="shared" si="87"/>
        <v>0</v>
      </c>
      <c r="H336" s="180">
        <f t="shared" si="87"/>
        <v>0</v>
      </c>
      <c r="I336" s="180">
        <f t="shared" si="88"/>
        <v>0</v>
      </c>
      <c r="J336" s="180">
        <f t="shared" si="89"/>
        <v>0</v>
      </c>
      <c r="K336" s="180">
        <f t="shared" si="90"/>
        <v>0</v>
      </c>
      <c r="L336" s="180">
        <f t="shared" si="90"/>
        <v>0</v>
      </c>
      <c r="M336" s="180">
        <f t="shared" si="90"/>
        <v>0</v>
      </c>
      <c r="N336" s="180">
        <f t="shared" si="90"/>
        <v>0</v>
      </c>
      <c r="O336" s="180">
        <f t="shared" si="90"/>
        <v>0</v>
      </c>
      <c r="P336" s="180">
        <f t="shared" si="90"/>
        <v>0</v>
      </c>
      <c r="Q336" s="180">
        <f t="shared" si="90"/>
        <v>0</v>
      </c>
      <c r="R336" s="180">
        <f t="shared" si="90"/>
        <v>0</v>
      </c>
      <c r="S336" s="180">
        <f t="shared" si="90"/>
        <v>0</v>
      </c>
      <c r="U336" s="56">
        <f t="shared" si="91"/>
        <v>0</v>
      </c>
      <c r="W336" s="184">
        <f>$W$333</f>
        <v>3.9E-2</v>
      </c>
      <c r="X336" s="56"/>
      <c r="Y336" s="161"/>
    </row>
    <row r="337" spans="1:25" ht="12.75">
      <c r="A337" s="198" t="s">
        <v>505</v>
      </c>
      <c r="C337" s="199" t="s">
        <v>501</v>
      </c>
      <c r="D337" s="18" t="s">
        <v>506</v>
      </c>
      <c r="E337" s="139">
        <f>$E$314</f>
        <v>0.38899999999999996</v>
      </c>
      <c r="F337" s="181"/>
      <c r="G337" s="180">
        <f t="shared" si="87"/>
        <v>0</v>
      </c>
      <c r="H337" s="180">
        <f t="shared" si="87"/>
        <v>0</v>
      </c>
      <c r="I337" s="180">
        <f t="shared" si="88"/>
        <v>0</v>
      </c>
      <c r="J337" s="180">
        <f t="shared" si="89"/>
        <v>0</v>
      </c>
      <c r="K337" s="180">
        <f t="shared" si="90"/>
        <v>0</v>
      </c>
      <c r="L337" s="180">
        <f t="shared" si="90"/>
        <v>0</v>
      </c>
      <c r="M337" s="180">
        <f t="shared" si="90"/>
        <v>0</v>
      </c>
      <c r="N337" s="180">
        <f t="shared" si="90"/>
        <v>0</v>
      </c>
      <c r="O337" s="180">
        <f t="shared" si="90"/>
        <v>0</v>
      </c>
      <c r="P337" s="180">
        <f t="shared" si="90"/>
        <v>0</v>
      </c>
      <c r="Q337" s="180">
        <f t="shared" si="90"/>
        <v>0</v>
      </c>
      <c r="R337" s="180">
        <f t="shared" si="90"/>
        <v>0</v>
      </c>
      <c r="S337" s="180">
        <f t="shared" si="90"/>
        <v>0</v>
      </c>
      <c r="U337" s="56">
        <f t="shared" si="91"/>
        <v>0</v>
      </c>
      <c r="W337" s="184">
        <f>$W$314</f>
        <v>0.38899999999999996</v>
      </c>
      <c r="X337" s="56"/>
      <c r="Y337" s="161"/>
    </row>
    <row r="338" spans="1:25" ht="12.75">
      <c r="A338" s="191" t="s">
        <v>507</v>
      </c>
      <c r="B338" s="192"/>
      <c r="C338" s="193"/>
      <c r="D338" s="193" t="s">
        <v>508</v>
      </c>
      <c r="E338" s="194"/>
      <c r="F338" s="195" t="s">
        <v>470</v>
      </c>
      <c r="G338" s="196">
        <f>SUM(G339:G344)</f>
        <v>-144324.446</v>
      </c>
      <c r="H338" s="196">
        <f>SUM(H339:H344)</f>
        <v>-52928.895999999993</v>
      </c>
      <c r="I338" s="196">
        <f t="shared" ref="I338:S338" si="92">SUM(I339:I344)</f>
        <v>-7.2759576141834259E-11</v>
      </c>
      <c r="J338" s="196">
        <f>SUM(J339:J344)</f>
        <v>0</v>
      </c>
      <c r="K338" s="196">
        <f t="shared" si="92"/>
        <v>0</v>
      </c>
      <c r="L338" s="196">
        <f t="shared" si="92"/>
        <v>0</v>
      </c>
      <c r="M338" s="196">
        <f>SUM(M339:M344)</f>
        <v>-197253.34200000006</v>
      </c>
      <c r="N338" s="196">
        <f t="shared" si="92"/>
        <v>-905947.15699999989</v>
      </c>
      <c r="O338" s="196">
        <f t="shared" si="92"/>
        <v>0</v>
      </c>
      <c r="P338" s="196">
        <f t="shared" si="92"/>
        <v>0</v>
      </c>
      <c r="Q338" s="196">
        <f t="shared" si="92"/>
        <v>0</v>
      </c>
      <c r="R338" s="196">
        <f t="shared" si="92"/>
        <v>0</v>
      </c>
      <c r="S338" s="196">
        <f t="shared" si="92"/>
        <v>-1103200.4990000001</v>
      </c>
      <c r="U338" s="56"/>
      <c r="W338" s="197"/>
      <c r="X338" s="56"/>
      <c r="Y338" s="161"/>
    </row>
    <row r="339" spans="1:25" ht="12.75">
      <c r="A339" s="198" t="s">
        <v>509</v>
      </c>
      <c r="B339" s="199"/>
      <c r="C339" s="18"/>
      <c r="D339" s="18" t="s">
        <v>176</v>
      </c>
      <c r="E339" s="139">
        <f t="shared" ref="E339:E345" si="93">$E$314</f>
        <v>0.38899999999999996</v>
      </c>
      <c r="F339" s="181"/>
      <c r="G339" s="180">
        <f t="shared" ref="G339:H345" si="94">SUMIF($E$11:$E$282,$D339,G$11:G$282)*$W339</f>
        <v>-933029.23196999985</v>
      </c>
      <c r="H339" s="180">
        <f t="shared" si="94"/>
        <v>-52928.895999999993</v>
      </c>
      <c r="I339" s="180">
        <f t="shared" ref="I339:I344" si="95">M339-G339-H339-J339-K339-L339</f>
        <v>-7.2759576141834259E-11</v>
      </c>
      <c r="J339" s="180">
        <f t="shared" ref="J339:J345" si="96">SUMIF($E$11:$E$282,$D339,J$11:J$282)*$W339</f>
        <v>0</v>
      </c>
      <c r="K339" s="180">
        <f t="shared" ref="K339:S345" si="97">SUMIF($E$11:$E$282,$D339,K$11:K$282)*$E339</f>
        <v>0</v>
      </c>
      <c r="L339" s="180">
        <f t="shared" si="97"/>
        <v>0</v>
      </c>
      <c r="M339" s="180">
        <f t="shared" si="97"/>
        <v>-985958.12796999991</v>
      </c>
      <c r="N339" s="180">
        <f t="shared" si="97"/>
        <v>-905947.15699999989</v>
      </c>
      <c r="O339" s="180">
        <f t="shared" si="97"/>
        <v>0</v>
      </c>
      <c r="P339" s="180">
        <f t="shared" si="97"/>
        <v>0</v>
      </c>
      <c r="Q339" s="180">
        <f t="shared" si="97"/>
        <v>0</v>
      </c>
      <c r="R339" s="180">
        <f t="shared" si="97"/>
        <v>0</v>
      </c>
      <c r="S339" s="180">
        <f t="shared" si="97"/>
        <v>-1891905.2849699999</v>
      </c>
      <c r="U339" s="56">
        <f t="shared" ref="U339:U345" si="98">M339/E339</f>
        <v>-2534596.73</v>
      </c>
      <c r="W339" s="184">
        <f t="shared" ref="W339:W345" si="99">$W$314</f>
        <v>0.38899999999999996</v>
      </c>
      <c r="X339" s="56"/>
      <c r="Y339" s="161"/>
    </row>
    <row r="340" spans="1:25" ht="12.75">
      <c r="A340" s="198" t="s">
        <v>510</v>
      </c>
      <c r="B340" s="199"/>
      <c r="C340" s="18"/>
      <c r="D340" s="18" t="s">
        <v>202</v>
      </c>
      <c r="E340" s="139">
        <f t="shared" si="93"/>
        <v>0.38899999999999996</v>
      </c>
      <c r="F340" s="181"/>
      <c r="G340" s="180">
        <f t="shared" si="94"/>
        <v>788704.78596999985</v>
      </c>
      <c r="H340" s="180">
        <f t="shared" si="94"/>
        <v>0</v>
      </c>
      <c r="I340" s="180">
        <f t="shared" si="95"/>
        <v>0</v>
      </c>
      <c r="J340" s="180">
        <f t="shared" si="96"/>
        <v>0</v>
      </c>
      <c r="K340" s="180">
        <f t="shared" si="97"/>
        <v>0</v>
      </c>
      <c r="L340" s="180">
        <f t="shared" si="97"/>
        <v>0</v>
      </c>
      <c r="M340" s="180">
        <f t="shared" si="97"/>
        <v>788704.78596999985</v>
      </c>
      <c r="N340" s="180">
        <f t="shared" si="97"/>
        <v>0</v>
      </c>
      <c r="O340" s="180">
        <f t="shared" si="97"/>
        <v>0</v>
      </c>
      <c r="P340" s="180">
        <f t="shared" si="97"/>
        <v>0</v>
      </c>
      <c r="Q340" s="180">
        <f t="shared" si="97"/>
        <v>0</v>
      </c>
      <c r="R340" s="180">
        <f t="shared" si="97"/>
        <v>0</v>
      </c>
      <c r="S340" s="180">
        <f t="shared" si="97"/>
        <v>788704.78596999985</v>
      </c>
      <c r="U340" s="56">
        <f t="shared" si="98"/>
        <v>2027518.7299999997</v>
      </c>
      <c r="W340" s="184">
        <f t="shared" si="99"/>
        <v>0.38899999999999996</v>
      </c>
      <c r="X340" s="56"/>
      <c r="Y340" s="161"/>
    </row>
    <row r="341" spans="1:25" ht="12.75">
      <c r="A341" s="198" t="s">
        <v>511</v>
      </c>
      <c r="B341" s="199"/>
      <c r="C341" s="18"/>
      <c r="D341" s="18" t="s">
        <v>512</v>
      </c>
      <c r="E341" s="139">
        <f t="shared" si="93"/>
        <v>0.38899999999999996</v>
      </c>
      <c r="F341" s="181"/>
      <c r="G341" s="180">
        <f t="shared" si="94"/>
        <v>0</v>
      </c>
      <c r="H341" s="180">
        <f t="shared" si="94"/>
        <v>0</v>
      </c>
      <c r="I341" s="180">
        <f t="shared" si="95"/>
        <v>0</v>
      </c>
      <c r="J341" s="180">
        <f t="shared" si="96"/>
        <v>0</v>
      </c>
      <c r="K341" s="180">
        <f t="shared" si="97"/>
        <v>0</v>
      </c>
      <c r="L341" s="180">
        <f t="shared" si="97"/>
        <v>0</v>
      </c>
      <c r="M341" s="180">
        <f t="shared" si="97"/>
        <v>0</v>
      </c>
      <c r="N341" s="180">
        <f t="shared" si="97"/>
        <v>0</v>
      </c>
      <c r="O341" s="180">
        <f t="shared" si="97"/>
        <v>0</v>
      </c>
      <c r="P341" s="180">
        <f t="shared" si="97"/>
        <v>0</v>
      </c>
      <c r="Q341" s="180">
        <f t="shared" si="97"/>
        <v>0</v>
      </c>
      <c r="R341" s="180">
        <f t="shared" si="97"/>
        <v>0</v>
      </c>
      <c r="S341" s="180">
        <f t="shared" si="97"/>
        <v>0</v>
      </c>
      <c r="U341" s="56">
        <f t="shared" si="98"/>
        <v>0</v>
      </c>
      <c r="W341" s="184">
        <f t="shared" si="99"/>
        <v>0.38899999999999996</v>
      </c>
      <c r="X341" s="56"/>
      <c r="Y341" s="161"/>
    </row>
    <row r="342" spans="1:25" ht="12.75">
      <c r="A342" s="198" t="s">
        <v>513</v>
      </c>
      <c r="B342" s="199"/>
      <c r="C342" s="18"/>
      <c r="D342" s="18" t="s">
        <v>514</v>
      </c>
      <c r="E342" s="139">
        <f t="shared" si="93"/>
        <v>0.38899999999999996</v>
      </c>
      <c r="F342" s="181"/>
      <c r="G342" s="180">
        <f t="shared" si="94"/>
        <v>0</v>
      </c>
      <c r="H342" s="180">
        <f t="shared" si="94"/>
        <v>0</v>
      </c>
      <c r="I342" s="180">
        <f t="shared" si="95"/>
        <v>0</v>
      </c>
      <c r="J342" s="180">
        <f t="shared" si="96"/>
        <v>0</v>
      </c>
      <c r="K342" s="180">
        <f t="shared" si="97"/>
        <v>0</v>
      </c>
      <c r="L342" s="180">
        <f t="shared" si="97"/>
        <v>0</v>
      </c>
      <c r="M342" s="180">
        <f t="shared" si="97"/>
        <v>0</v>
      </c>
      <c r="N342" s="180">
        <f t="shared" si="97"/>
        <v>0</v>
      </c>
      <c r="O342" s="180">
        <f t="shared" si="97"/>
        <v>0</v>
      </c>
      <c r="P342" s="180">
        <f t="shared" si="97"/>
        <v>0</v>
      </c>
      <c r="Q342" s="180">
        <f t="shared" si="97"/>
        <v>0</v>
      </c>
      <c r="R342" s="180">
        <f t="shared" si="97"/>
        <v>0</v>
      </c>
      <c r="S342" s="180">
        <f t="shared" si="97"/>
        <v>0</v>
      </c>
      <c r="U342" s="56">
        <f t="shared" si="98"/>
        <v>0</v>
      </c>
      <c r="W342" s="184">
        <f t="shared" si="99"/>
        <v>0.38899999999999996</v>
      </c>
      <c r="X342" s="56"/>
      <c r="Y342" s="161"/>
    </row>
    <row r="343" spans="1:25" ht="12.75">
      <c r="A343" s="198" t="s">
        <v>515</v>
      </c>
      <c r="B343" s="199"/>
      <c r="C343" s="18"/>
      <c r="D343" s="18" t="s">
        <v>516</v>
      </c>
      <c r="E343" s="139">
        <f t="shared" si="93"/>
        <v>0.38899999999999996</v>
      </c>
      <c r="F343" s="181"/>
      <c r="G343" s="180">
        <f t="shared" si="94"/>
        <v>0</v>
      </c>
      <c r="H343" s="180">
        <f t="shared" si="94"/>
        <v>0</v>
      </c>
      <c r="I343" s="180">
        <f t="shared" si="95"/>
        <v>0</v>
      </c>
      <c r="J343" s="180">
        <f t="shared" si="96"/>
        <v>0</v>
      </c>
      <c r="K343" s="180">
        <f t="shared" si="97"/>
        <v>0</v>
      </c>
      <c r="L343" s="180">
        <f t="shared" si="97"/>
        <v>0</v>
      </c>
      <c r="M343" s="180">
        <f t="shared" si="97"/>
        <v>0</v>
      </c>
      <c r="N343" s="180">
        <f t="shared" si="97"/>
        <v>0</v>
      </c>
      <c r="O343" s="180">
        <f t="shared" si="97"/>
        <v>0</v>
      </c>
      <c r="P343" s="180">
        <f t="shared" si="97"/>
        <v>0</v>
      </c>
      <c r="Q343" s="180">
        <f t="shared" si="97"/>
        <v>0</v>
      </c>
      <c r="R343" s="180">
        <f t="shared" si="97"/>
        <v>0</v>
      </c>
      <c r="S343" s="180">
        <f t="shared" si="97"/>
        <v>0</v>
      </c>
      <c r="U343" s="56">
        <f t="shared" si="98"/>
        <v>0</v>
      </c>
      <c r="W343" s="184">
        <f t="shared" si="99"/>
        <v>0.38899999999999996</v>
      </c>
      <c r="X343" s="56"/>
      <c r="Y343" s="161"/>
    </row>
    <row r="344" spans="1:25" ht="12.75">
      <c r="A344" s="198" t="s">
        <v>517</v>
      </c>
      <c r="B344" s="199"/>
      <c r="C344" s="18"/>
      <c r="D344" s="18" t="s">
        <v>518</v>
      </c>
      <c r="E344" s="139">
        <f t="shared" si="93"/>
        <v>0.38899999999999996</v>
      </c>
      <c r="F344" s="181"/>
      <c r="G344" s="180">
        <f t="shared" si="94"/>
        <v>0</v>
      </c>
      <c r="H344" s="180">
        <f t="shared" si="94"/>
        <v>0</v>
      </c>
      <c r="I344" s="180">
        <f t="shared" si="95"/>
        <v>0</v>
      </c>
      <c r="J344" s="180">
        <f t="shared" si="96"/>
        <v>0</v>
      </c>
      <c r="K344" s="180">
        <f t="shared" si="97"/>
        <v>0</v>
      </c>
      <c r="L344" s="180">
        <f t="shared" si="97"/>
        <v>0</v>
      </c>
      <c r="M344" s="180">
        <f t="shared" si="97"/>
        <v>0</v>
      </c>
      <c r="N344" s="180">
        <f t="shared" si="97"/>
        <v>0</v>
      </c>
      <c r="O344" s="180">
        <f t="shared" si="97"/>
        <v>0</v>
      </c>
      <c r="P344" s="180">
        <f t="shared" si="97"/>
        <v>0</v>
      </c>
      <c r="Q344" s="180">
        <f t="shared" si="97"/>
        <v>0</v>
      </c>
      <c r="R344" s="180">
        <f t="shared" si="97"/>
        <v>0</v>
      </c>
      <c r="S344" s="180">
        <f t="shared" si="97"/>
        <v>0</v>
      </c>
      <c r="U344" s="56">
        <f t="shared" si="98"/>
        <v>0</v>
      </c>
      <c r="W344" s="184">
        <f t="shared" si="99"/>
        <v>0.38899999999999996</v>
      </c>
      <c r="X344" s="56"/>
      <c r="Y344" s="161"/>
    </row>
    <row r="345" spans="1:25" ht="12.75">
      <c r="A345" s="191" t="s">
        <v>519</v>
      </c>
      <c r="B345" s="192"/>
      <c r="C345" s="193"/>
      <c r="D345" s="193" t="s">
        <v>237</v>
      </c>
      <c r="E345" s="194">
        <f t="shared" si="93"/>
        <v>0.38899999999999996</v>
      </c>
      <c r="F345" s="195" t="s">
        <v>470</v>
      </c>
      <c r="G345" s="196">
        <f t="shared" si="94"/>
        <v>0</v>
      </c>
      <c r="H345" s="196">
        <f t="shared" si="94"/>
        <v>0</v>
      </c>
      <c r="I345" s="196">
        <f>M345-G345-H345-J345-K345-L345</f>
        <v>0</v>
      </c>
      <c r="J345" s="196">
        <f t="shared" si="96"/>
        <v>0</v>
      </c>
      <c r="K345" s="196">
        <f t="shared" si="97"/>
        <v>0</v>
      </c>
      <c r="L345" s="196">
        <f t="shared" si="97"/>
        <v>0</v>
      </c>
      <c r="M345" s="196">
        <f t="shared" si="97"/>
        <v>0</v>
      </c>
      <c r="N345" s="196">
        <f t="shared" si="97"/>
        <v>0</v>
      </c>
      <c r="O345" s="196">
        <f t="shared" si="97"/>
        <v>0</v>
      </c>
      <c r="P345" s="196">
        <f t="shared" si="97"/>
        <v>0</v>
      </c>
      <c r="Q345" s="196">
        <f t="shared" si="97"/>
        <v>0</v>
      </c>
      <c r="R345" s="196">
        <f t="shared" si="97"/>
        <v>0</v>
      </c>
      <c r="S345" s="196">
        <f t="shared" si="97"/>
        <v>0</v>
      </c>
      <c r="U345" s="56">
        <f t="shared" si="98"/>
        <v>0</v>
      </c>
      <c r="W345" s="197">
        <f t="shared" si="99"/>
        <v>0.38899999999999996</v>
      </c>
      <c r="X345" s="56"/>
      <c r="Y345" s="161"/>
    </row>
    <row r="346" spans="1:25" ht="12.75">
      <c r="A346" s="191" t="s">
        <v>520</v>
      </c>
      <c r="B346" s="192"/>
      <c r="C346" s="193"/>
      <c r="D346" s="193" t="s">
        <v>521</v>
      </c>
      <c r="E346" s="194"/>
      <c r="F346" s="195" t="s">
        <v>470</v>
      </c>
      <c r="G346" s="196">
        <f t="shared" ref="G346:S346" si="100">SUM(G347:G358)</f>
        <v>473169.26556436665</v>
      </c>
      <c r="H346" s="196">
        <f t="shared" si="100"/>
        <v>-1484.4239999999998</v>
      </c>
      <c r="I346" s="196">
        <f t="shared" si="100"/>
        <v>6.8212102632969618E-13</v>
      </c>
      <c r="J346" s="196">
        <f t="shared" si="100"/>
        <v>18841.899999999998</v>
      </c>
      <c r="K346" s="196">
        <f t="shared" si="100"/>
        <v>-14790.65</v>
      </c>
      <c r="L346" s="196">
        <f t="shared" si="100"/>
        <v>0</v>
      </c>
      <c r="M346" s="196">
        <f t="shared" si="100"/>
        <v>475736.09156436665</v>
      </c>
      <c r="N346" s="196">
        <f t="shared" si="100"/>
        <v>-11951.188001666684</v>
      </c>
      <c r="O346" s="196">
        <f t="shared" si="100"/>
        <v>0</v>
      </c>
      <c r="P346" s="196">
        <f t="shared" si="100"/>
        <v>0</v>
      </c>
      <c r="Q346" s="196">
        <f t="shared" si="100"/>
        <v>0</v>
      </c>
      <c r="R346" s="196">
        <f t="shared" si="100"/>
        <v>0</v>
      </c>
      <c r="S346" s="196">
        <f t="shared" si="100"/>
        <v>459484.45356269996</v>
      </c>
      <c r="U346" s="56"/>
      <c r="W346" s="197"/>
      <c r="X346" s="56"/>
      <c r="Y346" s="161"/>
    </row>
    <row r="347" spans="1:25" ht="12.75">
      <c r="A347" s="198" t="s">
        <v>522</v>
      </c>
      <c r="B347" s="199"/>
      <c r="C347" s="18"/>
      <c r="D347" s="18" t="s">
        <v>77</v>
      </c>
      <c r="E347" s="139">
        <f t="shared" ref="E347:E359" si="101">$E$314</f>
        <v>0.38899999999999996</v>
      </c>
      <c r="F347" s="181"/>
      <c r="G347" s="180">
        <f t="shared" ref="G347:H359" si="102">SUMIF($E$11:$E$282,$D347,G$11:G$282)*$W347</f>
        <v>-4312.1690056333355</v>
      </c>
      <c r="H347" s="180">
        <f t="shared" si="102"/>
        <v>0</v>
      </c>
      <c r="I347" s="180">
        <f t="shared" ref="I347:I356" si="103">M347-G347-H347-J347-K347-L347</f>
        <v>0</v>
      </c>
      <c r="J347" s="180">
        <f t="shared" ref="J347:J359" si="104">SUMIF($E$11:$E$282,$D347,J$11:J$282)*$W347</f>
        <v>0</v>
      </c>
      <c r="K347" s="180">
        <f t="shared" ref="K347:S359" si="105">SUMIF($E$11:$E$282,$D347,K$11:K$282)*$E347</f>
        <v>0</v>
      </c>
      <c r="L347" s="180">
        <f t="shared" si="105"/>
        <v>0</v>
      </c>
      <c r="M347" s="180">
        <f t="shared" si="105"/>
        <v>-4312.1690056333355</v>
      </c>
      <c r="N347" s="180">
        <f t="shared" si="105"/>
        <v>135.09645833333332</v>
      </c>
      <c r="O347" s="180">
        <f t="shared" si="105"/>
        <v>0</v>
      </c>
      <c r="P347" s="180">
        <f t="shared" si="105"/>
        <v>0</v>
      </c>
      <c r="Q347" s="180">
        <f t="shared" si="105"/>
        <v>0</v>
      </c>
      <c r="R347" s="180">
        <f t="shared" si="105"/>
        <v>0</v>
      </c>
      <c r="S347" s="180">
        <f t="shared" si="105"/>
        <v>-4177.072547300002</v>
      </c>
      <c r="U347" s="56">
        <f t="shared" ref="U347:U359" si="106">M347/E347</f>
        <v>-11085.267366666674</v>
      </c>
      <c r="W347" s="184">
        <f t="shared" ref="W347:W359" si="107">$W$314</f>
        <v>0.38899999999999996</v>
      </c>
      <c r="X347" s="56"/>
      <c r="Y347" s="161"/>
    </row>
    <row r="348" spans="1:25" ht="12.75">
      <c r="A348" s="198" t="s">
        <v>523</v>
      </c>
      <c r="B348" s="199"/>
      <c r="C348" s="18"/>
      <c r="D348" s="18" t="s">
        <v>524</v>
      </c>
      <c r="E348" s="139">
        <f t="shared" si="101"/>
        <v>0.38899999999999996</v>
      </c>
      <c r="F348" s="181"/>
      <c r="G348" s="180">
        <f t="shared" si="102"/>
        <v>0</v>
      </c>
      <c r="H348" s="180">
        <f t="shared" si="102"/>
        <v>0</v>
      </c>
      <c r="I348" s="180">
        <f t="shared" si="103"/>
        <v>0</v>
      </c>
      <c r="J348" s="180">
        <f t="shared" si="104"/>
        <v>0</v>
      </c>
      <c r="K348" s="180">
        <f t="shared" si="105"/>
        <v>0</v>
      </c>
      <c r="L348" s="180">
        <f t="shared" si="105"/>
        <v>0</v>
      </c>
      <c r="M348" s="180">
        <f t="shared" si="105"/>
        <v>0</v>
      </c>
      <c r="N348" s="180">
        <f t="shared" si="105"/>
        <v>0</v>
      </c>
      <c r="O348" s="180">
        <f t="shared" si="105"/>
        <v>0</v>
      </c>
      <c r="P348" s="180">
        <f t="shared" si="105"/>
        <v>0</v>
      </c>
      <c r="Q348" s="180">
        <f t="shared" si="105"/>
        <v>0</v>
      </c>
      <c r="R348" s="180">
        <f t="shared" si="105"/>
        <v>0</v>
      </c>
      <c r="S348" s="180">
        <f t="shared" si="105"/>
        <v>0</v>
      </c>
      <c r="U348" s="56">
        <f t="shared" si="106"/>
        <v>0</v>
      </c>
      <c r="W348" s="184">
        <f t="shared" si="107"/>
        <v>0.38899999999999996</v>
      </c>
      <c r="X348" s="56"/>
      <c r="Y348" s="161"/>
    </row>
    <row r="349" spans="1:25" ht="12.75">
      <c r="A349" s="198" t="s">
        <v>525</v>
      </c>
      <c r="B349" s="199"/>
      <c r="C349" s="18"/>
      <c r="D349" s="18" t="s">
        <v>526</v>
      </c>
      <c r="E349" s="139">
        <f t="shared" si="101"/>
        <v>0.38899999999999996</v>
      </c>
      <c r="F349" s="181"/>
      <c r="G349" s="180">
        <f t="shared" si="102"/>
        <v>0</v>
      </c>
      <c r="H349" s="180">
        <f t="shared" si="102"/>
        <v>0</v>
      </c>
      <c r="I349" s="180">
        <f t="shared" si="103"/>
        <v>0</v>
      </c>
      <c r="J349" s="180">
        <f t="shared" si="104"/>
        <v>0</v>
      </c>
      <c r="K349" s="180">
        <f t="shared" si="105"/>
        <v>0</v>
      </c>
      <c r="L349" s="180">
        <f t="shared" si="105"/>
        <v>0</v>
      </c>
      <c r="M349" s="180">
        <f t="shared" si="105"/>
        <v>0</v>
      </c>
      <c r="N349" s="180">
        <f t="shared" si="105"/>
        <v>0</v>
      </c>
      <c r="O349" s="180">
        <f t="shared" si="105"/>
        <v>0</v>
      </c>
      <c r="P349" s="180">
        <f t="shared" si="105"/>
        <v>0</v>
      </c>
      <c r="Q349" s="180">
        <f t="shared" si="105"/>
        <v>0</v>
      </c>
      <c r="R349" s="180">
        <f t="shared" si="105"/>
        <v>0</v>
      </c>
      <c r="S349" s="180">
        <f t="shared" si="105"/>
        <v>0</v>
      </c>
      <c r="U349" s="56">
        <f t="shared" si="106"/>
        <v>0</v>
      </c>
      <c r="W349" s="184">
        <f t="shared" si="107"/>
        <v>0.38899999999999996</v>
      </c>
      <c r="X349" s="56"/>
      <c r="Y349" s="161"/>
    </row>
    <row r="350" spans="1:25" ht="12.75">
      <c r="A350" s="198" t="s">
        <v>527</v>
      </c>
      <c r="B350" s="199"/>
      <c r="C350" s="18"/>
      <c r="D350" s="18" t="s">
        <v>528</v>
      </c>
      <c r="E350" s="139">
        <f t="shared" si="101"/>
        <v>0.38899999999999996</v>
      </c>
      <c r="F350" s="181"/>
      <c r="G350" s="180">
        <f t="shared" si="102"/>
        <v>0</v>
      </c>
      <c r="H350" s="180">
        <f t="shared" si="102"/>
        <v>0</v>
      </c>
      <c r="I350" s="180">
        <f t="shared" si="103"/>
        <v>0</v>
      </c>
      <c r="J350" s="180">
        <f t="shared" si="104"/>
        <v>0</v>
      </c>
      <c r="K350" s="180">
        <f t="shared" si="105"/>
        <v>0</v>
      </c>
      <c r="L350" s="180">
        <f t="shared" si="105"/>
        <v>0</v>
      </c>
      <c r="M350" s="180">
        <f t="shared" si="105"/>
        <v>0</v>
      </c>
      <c r="N350" s="180">
        <f t="shared" si="105"/>
        <v>0</v>
      </c>
      <c r="O350" s="180">
        <f t="shared" si="105"/>
        <v>0</v>
      </c>
      <c r="P350" s="180">
        <f t="shared" si="105"/>
        <v>0</v>
      </c>
      <c r="Q350" s="180">
        <f t="shared" si="105"/>
        <v>0</v>
      </c>
      <c r="R350" s="180">
        <f t="shared" si="105"/>
        <v>0</v>
      </c>
      <c r="S350" s="180">
        <f t="shared" si="105"/>
        <v>0</v>
      </c>
      <c r="U350" s="56">
        <f t="shared" si="106"/>
        <v>0</v>
      </c>
      <c r="W350" s="184">
        <f t="shared" si="107"/>
        <v>0.38899999999999996</v>
      </c>
      <c r="X350" s="56"/>
      <c r="Y350" s="161"/>
    </row>
    <row r="351" spans="1:25" ht="12.75">
      <c r="A351" s="198" t="s">
        <v>529</v>
      </c>
      <c r="B351" s="199"/>
      <c r="C351" s="18"/>
      <c r="D351" s="18" t="s">
        <v>81</v>
      </c>
      <c r="E351" s="139">
        <f t="shared" si="101"/>
        <v>0.38899999999999996</v>
      </c>
      <c r="F351" s="181"/>
      <c r="G351" s="180">
        <f t="shared" si="102"/>
        <v>0</v>
      </c>
      <c r="H351" s="180">
        <f t="shared" si="102"/>
        <v>0</v>
      </c>
      <c r="I351" s="180">
        <f t="shared" si="103"/>
        <v>0</v>
      </c>
      <c r="J351" s="180">
        <f t="shared" si="104"/>
        <v>0</v>
      </c>
      <c r="K351" s="180">
        <f t="shared" si="105"/>
        <v>0</v>
      </c>
      <c r="L351" s="180">
        <f t="shared" si="105"/>
        <v>0</v>
      </c>
      <c r="M351" s="180">
        <f t="shared" si="105"/>
        <v>0</v>
      </c>
      <c r="N351" s="180">
        <f t="shared" si="105"/>
        <v>0</v>
      </c>
      <c r="O351" s="180">
        <f t="shared" si="105"/>
        <v>0</v>
      </c>
      <c r="P351" s="180">
        <f t="shared" si="105"/>
        <v>0</v>
      </c>
      <c r="Q351" s="180">
        <f t="shared" si="105"/>
        <v>0</v>
      </c>
      <c r="R351" s="180">
        <f t="shared" si="105"/>
        <v>0</v>
      </c>
      <c r="S351" s="180">
        <f t="shared" si="105"/>
        <v>0</v>
      </c>
      <c r="U351" s="56">
        <f t="shared" si="106"/>
        <v>0</v>
      </c>
      <c r="W351" s="184">
        <f t="shared" si="107"/>
        <v>0.38899999999999996</v>
      </c>
      <c r="X351" s="56"/>
      <c r="Y351" s="161"/>
    </row>
    <row r="352" spans="1:25" ht="12.75">
      <c r="A352" s="198" t="s">
        <v>530</v>
      </c>
      <c r="B352" s="199"/>
      <c r="C352" s="18"/>
      <c r="D352" s="18" t="s">
        <v>531</v>
      </c>
      <c r="E352" s="139">
        <f t="shared" si="101"/>
        <v>0.38899999999999996</v>
      </c>
      <c r="F352" s="181"/>
      <c r="G352" s="180">
        <f t="shared" si="102"/>
        <v>0</v>
      </c>
      <c r="H352" s="180">
        <f t="shared" si="102"/>
        <v>0</v>
      </c>
      <c r="I352" s="180">
        <f t="shared" si="103"/>
        <v>0</v>
      </c>
      <c r="J352" s="180">
        <f t="shared" si="104"/>
        <v>0</v>
      </c>
      <c r="K352" s="180">
        <f t="shared" si="105"/>
        <v>0</v>
      </c>
      <c r="L352" s="180">
        <f t="shared" si="105"/>
        <v>0</v>
      </c>
      <c r="M352" s="180">
        <f t="shared" si="105"/>
        <v>0</v>
      </c>
      <c r="N352" s="180">
        <f t="shared" si="105"/>
        <v>0</v>
      </c>
      <c r="O352" s="180">
        <f t="shared" si="105"/>
        <v>0</v>
      </c>
      <c r="P352" s="180">
        <f t="shared" si="105"/>
        <v>0</v>
      </c>
      <c r="Q352" s="180">
        <f t="shared" si="105"/>
        <v>0</v>
      </c>
      <c r="R352" s="180">
        <f t="shared" si="105"/>
        <v>0</v>
      </c>
      <c r="S352" s="180">
        <f t="shared" si="105"/>
        <v>0</v>
      </c>
      <c r="U352" s="56">
        <f t="shared" si="106"/>
        <v>0</v>
      </c>
      <c r="W352" s="184">
        <f t="shared" si="107"/>
        <v>0.38899999999999996</v>
      </c>
      <c r="X352" s="56"/>
      <c r="Y352" s="161"/>
    </row>
    <row r="353" spans="1:25" ht="12.75">
      <c r="A353" s="198" t="s">
        <v>532</v>
      </c>
      <c r="B353" s="199"/>
      <c r="C353" s="18"/>
      <c r="D353" s="18" t="s">
        <v>139</v>
      </c>
      <c r="E353" s="139">
        <f t="shared" si="101"/>
        <v>0.38899999999999996</v>
      </c>
      <c r="F353" s="181"/>
      <c r="G353" s="180">
        <f t="shared" si="102"/>
        <v>0</v>
      </c>
      <c r="H353" s="180">
        <f t="shared" si="102"/>
        <v>0</v>
      </c>
      <c r="I353" s="180">
        <f t="shared" si="103"/>
        <v>0</v>
      </c>
      <c r="J353" s="180">
        <f t="shared" si="104"/>
        <v>0</v>
      </c>
      <c r="K353" s="180">
        <f t="shared" si="105"/>
        <v>0</v>
      </c>
      <c r="L353" s="180">
        <f t="shared" si="105"/>
        <v>0</v>
      </c>
      <c r="M353" s="180">
        <f t="shared" si="105"/>
        <v>0</v>
      </c>
      <c r="N353" s="180">
        <f t="shared" si="105"/>
        <v>0</v>
      </c>
      <c r="O353" s="180">
        <f t="shared" si="105"/>
        <v>0</v>
      </c>
      <c r="P353" s="180">
        <f t="shared" si="105"/>
        <v>0</v>
      </c>
      <c r="Q353" s="180">
        <f t="shared" si="105"/>
        <v>0</v>
      </c>
      <c r="R353" s="180">
        <f t="shared" si="105"/>
        <v>0</v>
      </c>
      <c r="S353" s="180">
        <f t="shared" si="105"/>
        <v>0</v>
      </c>
      <c r="U353" s="56">
        <f t="shared" si="106"/>
        <v>0</v>
      </c>
      <c r="W353" s="184">
        <f t="shared" si="107"/>
        <v>0.38899999999999996</v>
      </c>
      <c r="X353" s="56"/>
      <c r="Y353" s="161"/>
    </row>
    <row r="354" spans="1:25" ht="12.75">
      <c r="A354" s="200" t="s">
        <v>533</v>
      </c>
      <c r="B354" s="199"/>
      <c r="C354" s="201"/>
      <c r="D354" s="201" t="s">
        <v>534</v>
      </c>
      <c r="E354" s="139">
        <f t="shared" si="101"/>
        <v>0.38899999999999996</v>
      </c>
      <c r="F354" s="181"/>
      <c r="G354" s="180">
        <f t="shared" si="102"/>
        <v>0</v>
      </c>
      <c r="H354" s="180">
        <f t="shared" si="102"/>
        <v>0</v>
      </c>
      <c r="I354" s="180">
        <f t="shared" si="103"/>
        <v>0</v>
      </c>
      <c r="J354" s="180">
        <f t="shared" si="104"/>
        <v>0</v>
      </c>
      <c r="K354" s="180">
        <f t="shared" si="105"/>
        <v>0</v>
      </c>
      <c r="L354" s="180">
        <f t="shared" si="105"/>
        <v>0</v>
      </c>
      <c r="M354" s="180">
        <f t="shared" si="105"/>
        <v>0</v>
      </c>
      <c r="N354" s="180">
        <f t="shared" si="105"/>
        <v>0</v>
      </c>
      <c r="O354" s="180">
        <f t="shared" si="105"/>
        <v>0</v>
      </c>
      <c r="P354" s="180">
        <f t="shared" si="105"/>
        <v>0</v>
      </c>
      <c r="Q354" s="180">
        <f t="shared" si="105"/>
        <v>0</v>
      </c>
      <c r="R354" s="180">
        <f t="shared" si="105"/>
        <v>0</v>
      </c>
      <c r="S354" s="180">
        <f t="shared" si="105"/>
        <v>0</v>
      </c>
      <c r="U354" s="56">
        <f t="shared" si="106"/>
        <v>0</v>
      </c>
      <c r="W354" s="184">
        <f t="shared" si="107"/>
        <v>0.38899999999999996</v>
      </c>
      <c r="X354" s="56"/>
      <c r="Y354" s="161"/>
    </row>
    <row r="355" spans="1:25" ht="12.75">
      <c r="A355" s="198" t="s">
        <v>535</v>
      </c>
      <c r="B355" s="199"/>
      <c r="C355" s="18" t="s">
        <v>335</v>
      </c>
      <c r="D355" s="18" t="s">
        <v>192</v>
      </c>
      <c r="E355" s="139">
        <f t="shared" si="101"/>
        <v>0.38899999999999996</v>
      </c>
      <c r="F355" s="181"/>
      <c r="G355" s="180">
        <f>SUMIF($E$11:$E$282,$D355,G$11:G$282)*$E355+SUMIF($E$11:$E$282,$C355,G$11:G$282)*0.35</f>
        <v>273487.88957</v>
      </c>
      <c r="H355" s="180">
        <f t="shared" ref="H355:R355" si="108">SUMIF($E$11:$E$282,$D355,H$11:H$282)*$E355</f>
        <v>0</v>
      </c>
      <c r="I355" s="180">
        <f>SUMIF($E$11:$E$282,$D355,I$11:I$282)*$E355</f>
        <v>0</v>
      </c>
      <c r="J355" s="180">
        <f>SUMIF($E$11:$E$282,$D355,J$11:J$282)*$E355+SUMIF($E$11:$E$282,$C355,J$11:J$282)*0.35</f>
        <v>18841.899999999998</v>
      </c>
      <c r="K355" s="180">
        <f>SUMIF($E$11:$E$282,$D355,K$11:K$282)*$E355+SUMIF($E$11:$E$282,$C355,K$11:K$282)*0.35</f>
        <v>-14790.65</v>
      </c>
      <c r="L355" s="180">
        <f t="shared" si="108"/>
        <v>0</v>
      </c>
      <c r="M355" s="180">
        <f>SUMIF($E$11:$E$282,$D355,M$11:M$282)*$E355+SUMIF($E$11:$E$282,C355,M$11:M$282)*0.35</f>
        <v>277539.13957</v>
      </c>
      <c r="N355" s="180">
        <f t="shared" si="108"/>
        <v>-95845.320999999996</v>
      </c>
      <c r="O355" s="180">
        <f t="shared" si="108"/>
        <v>0</v>
      </c>
      <c r="P355" s="180">
        <f t="shared" si="108"/>
        <v>0</v>
      </c>
      <c r="Q355" s="180">
        <f t="shared" si="108"/>
        <v>0</v>
      </c>
      <c r="R355" s="180">
        <f t="shared" si="108"/>
        <v>0</v>
      </c>
      <c r="S355" s="180">
        <f>SUMIF($E$11:$E$282,$D355,S$11:S$282)*$E355+SUMIF($E$11:$E$282,$C355,S$11:S$282)*0.35</f>
        <v>177393.36856999999</v>
      </c>
      <c r="U355" s="56">
        <f t="shared" si="106"/>
        <v>713468.2251156813</v>
      </c>
      <c r="W355" s="184">
        <f t="shared" si="107"/>
        <v>0.38899999999999996</v>
      </c>
      <c r="X355" s="56"/>
      <c r="Y355" s="161"/>
    </row>
    <row r="356" spans="1:25" ht="12.75">
      <c r="A356" s="198" t="s">
        <v>536</v>
      </c>
      <c r="B356" s="199"/>
      <c r="C356" s="18"/>
      <c r="D356" s="18" t="s">
        <v>72</v>
      </c>
      <c r="E356" s="139">
        <f t="shared" si="101"/>
        <v>0.38899999999999996</v>
      </c>
      <c r="F356" s="181"/>
      <c r="G356" s="180">
        <f t="shared" si="102"/>
        <v>176411.11099999998</v>
      </c>
      <c r="H356" s="180">
        <f t="shared" si="102"/>
        <v>0</v>
      </c>
      <c r="I356" s="180">
        <f t="shared" si="103"/>
        <v>0</v>
      </c>
      <c r="J356" s="180">
        <f t="shared" si="104"/>
        <v>0</v>
      </c>
      <c r="K356" s="180">
        <f t="shared" si="105"/>
        <v>0</v>
      </c>
      <c r="L356" s="180">
        <f t="shared" si="105"/>
        <v>0</v>
      </c>
      <c r="M356" s="180">
        <f t="shared" si="105"/>
        <v>176411.11099999998</v>
      </c>
      <c r="N356" s="180">
        <f t="shared" si="105"/>
        <v>57792.95199999999</v>
      </c>
      <c r="O356" s="180">
        <f t="shared" si="105"/>
        <v>0</v>
      </c>
      <c r="P356" s="180">
        <f t="shared" si="105"/>
        <v>0</v>
      </c>
      <c r="Q356" s="180">
        <f t="shared" si="105"/>
        <v>0</v>
      </c>
      <c r="R356" s="180">
        <f t="shared" si="105"/>
        <v>0</v>
      </c>
      <c r="S356" s="180">
        <f t="shared" si="105"/>
        <v>234204.06299999997</v>
      </c>
      <c r="U356" s="56">
        <f t="shared" si="106"/>
        <v>453499</v>
      </c>
      <c r="W356" s="184">
        <f t="shared" si="107"/>
        <v>0.38899999999999996</v>
      </c>
      <c r="X356" s="56"/>
      <c r="Y356" s="161"/>
    </row>
    <row r="357" spans="1:25" ht="12.75">
      <c r="A357" s="198" t="s">
        <v>537</v>
      </c>
      <c r="B357" s="199"/>
      <c r="C357" s="18"/>
      <c r="D357" s="18" t="s">
        <v>282</v>
      </c>
      <c r="E357" s="139">
        <f>$E$314</f>
        <v>0.38899999999999996</v>
      </c>
      <c r="F357" s="181"/>
      <c r="G357" s="180">
        <f>SUMIF($E$11:$E$282,$D357,G$11:G$282)*$W357</f>
        <v>27582.433999999997</v>
      </c>
      <c r="H357" s="180">
        <f>SUMIF($E$11:$E$282,$D357,H$11:H$282)*$W357</f>
        <v>-1484.4239999999998</v>
      </c>
      <c r="I357" s="180">
        <f>M357-G357-H357-J357-K357-L357</f>
        <v>6.8212102632969618E-13</v>
      </c>
      <c r="J357" s="180">
        <f>SUMIF($E$11:$E$282,$D357,J$11:J$282)*$W357</f>
        <v>0</v>
      </c>
      <c r="K357" s="180">
        <f t="shared" si="105"/>
        <v>0</v>
      </c>
      <c r="L357" s="180">
        <f t="shared" si="105"/>
        <v>0</v>
      </c>
      <c r="M357" s="180">
        <f t="shared" si="105"/>
        <v>26098.01</v>
      </c>
      <c r="N357" s="180">
        <f t="shared" si="105"/>
        <v>25966.084539999996</v>
      </c>
      <c r="O357" s="180">
        <f t="shared" si="105"/>
        <v>0</v>
      </c>
      <c r="P357" s="180">
        <f t="shared" si="105"/>
        <v>0</v>
      </c>
      <c r="Q357" s="180">
        <f t="shared" si="105"/>
        <v>0</v>
      </c>
      <c r="R357" s="180">
        <f t="shared" si="105"/>
        <v>0</v>
      </c>
      <c r="S357" s="180">
        <f t="shared" si="105"/>
        <v>52064.094539999991</v>
      </c>
      <c r="U357" s="56">
        <f>M357/E357</f>
        <v>67090</v>
      </c>
      <c r="W357" s="184">
        <f>$W$314</f>
        <v>0.38899999999999996</v>
      </c>
      <c r="X357" s="56"/>
      <c r="Y357" s="161"/>
    </row>
    <row r="358" spans="1:25" ht="12.75">
      <c r="A358" s="198" t="s">
        <v>290</v>
      </c>
      <c r="B358" s="199"/>
      <c r="C358" s="18"/>
      <c r="D358" s="18" t="s">
        <v>291</v>
      </c>
      <c r="E358" s="139">
        <f>$E$314</f>
        <v>0.38899999999999996</v>
      </c>
      <c r="F358" s="181"/>
      <c r="G358" s="180">
        <f>SUMIF($E$11:$E$282,$D358,G$11:G$282)*$W358</f>
        <v>0</v>
      </c>
      <c r="H358" s="180">
        <f>SUMIF($E$11:$E$282,$D358,H$11:H$282)*$W358</f>
        <v>0</v>
      </c>
      <c r="I358" s="180">
        <f>M358-G358-H358-J358-K358-L358</f>
        <v>0</v>
      </c>
      <c r="J358" s="180">
        <f>SUMIF($E$11:$E$282,$D358,J$11:J$282)*$W358</f>
        <v>0</v>
      </c>
      <c r="K358" s="180">
        <f t="shared" si="105"/>
        <v>0</v>
      </c>
      <c r="L358" s="180">
        <f t="shared" si="105"/>
        <v>0</v>
      </c>
      <c r="M358" s="180">
        <f t="shared" si="105"/>
        <v>0</v>
      </c>
      <c r="N358" s="180">
        <f t="shared" si="105"/>
        <v>0</v>
      </c>
      <c r="O358" s="180">
        <f t="shared" si="105"/>
        <v>0</v>
      </c>
      <c r="P358" s="180">
        <f t="shared" si="105"/>
        <v>0</v>
      </c>
      <c r="Q358" s="180">
        <f t="shared" si="105"/>
        <v>0</v>
      </c>
      <c r="R358" s="180">
        <f t="shared" si="105"/>
        <v>0</v>
      </c>
      <c r="S358" s="180">
        <f t="shared" si="105"/>
        <v>0</v>
      </c>
      <c r="U358" s="56">
        <f>M358/E358</f>
        <v>0</v>
      </c>
      <c r="W358" s="184">
        <f>$W$314</f>
        <v>0.38899999999999996</v>
      </c>
      <c r="X358" s="56"/>
      <c r="Y358" s="161"/>
    </row>
    <row r="359" spans="1:25" ht="12.75">
      <c r="A359" s="203" t="s">
        <v>538</v>
      </c>
      <c r="B359" s="192"/>
      <c r="C359" s="193"/>
      <c r="D359" s="193" t="s">
        <v>539</v>
      </c>
      <c r="E359" s="194">
        <f t="shared" si="101"/>
        <v>0.38899999999999996</v>
      </c>
      <c r="F359" s="195" t="s">
        <v>470</v>
      </c>
      <c r="G359" s="196">
        <f t="shared" si="102"/>
        <v>0</v>
      </c>
      <c r="H359" s="196">
        <f t="shared" si="102"/>
        <v>0</v>
      </c>
      <c r="I359" s="196">
        <f>M359-G359-H359-J359-K359-L359</f>
        <v>0</v>
      </c>
      <c r="J359" s="196">
        <f t="shared" si="104"/>
        <v>0</v>
      </c>
      <c r="K359" s="196">
        <f t="shared" si="105"/>
        <v>0</v>
      </c>
      <c r="L359" s="196">
        <f t="shared" si="105"/>
        <v>0</v>
      </c>
      <c r="M359" s="196">
        <f t="shared" si="105"/>
        <v>0</v>
      </c>
      <c r="N359" s="196">
        <f t="shared" si="105"/>
        <v>0</v>
      </c>
      <c r="O359" s="196">
        <f t="shared" si="105"/>
        <v>0</v>
      </c>
      <c r="P359" s="196">
        <f t="shared" si="105"/>
        <v>0</v>
      </c>
      <c r="Q359" s="196">
        <f t="shared" si="105"/>
        <v>0</v>
      </c>
      <c r="R359" s="196">
        <f t="shared" si="105"/>
        <v>0</v>
      </c>
      <c r="S359" s="196">
        <f t="shared" si="105"/>
        <v>0</v>
      </c>
      <c r="U359" s="56">
        <f t="shared" si="106"/>
        <v>0</v>
      </c>
      <c r="W359" s="197">
        <f t="shared" si="107"/>
        <v>0.38899999999999996</v>
      </c>
      <c r="X359" s="56"/>
      <c r="Y359" s="161"/>
    </row>
    <row r="360" spans="1:25" ht="12.75">
      <c r="A360" s="204" t="s">
        <v>540</v>
      </c>
      <c r="B360" s="192"/>
      <c r="C360" s="193"/>
      <c r="D360" s="193" t="s">
        <v>541</v>
      </c>
      <c r="E360" s="194"/>
      <c r="F360" s="195" t="s">
        <v>470</v>
      </c>
      <c r="G360" s="196">
        <f>SUM(G361:G363)</f>
        <v>36497.298709999995</v>
      </c>
      <c r="H360" s="196">
        <f>SUM(H361:H363)</f>
        <v>-34681.294999999998</v>
      </c>
      <c r="I360" s="196">
        <f t="shared" ref="I360:S360" si="109">SUM(I361:I363)</f>
        <v>0</v>
      </c>
      <c r="J360" s="196">
        <f>SUM(J361:J363)</f>
        <v>0</v>
      </c>
      <c r="K360" s="196">
        <f t="shared" si="109"/>
        <v>0</v>
      </c>
      <c r="L360" s="196">
        <f t="shared" si="109"/>
        <v>0</v>
      </c>
      <c r="M360" s="196">
        <f>SUM(M361:M363)</f>
        <v>1816.0037099999972</v>
      </c>
      <c r="N360" s="196">
        <f t="shared" si="109"/>
        <v>34305.520999999993</v>
      </c>
      <c r="O360" s="196">
        <f t="shared" si="109"/>
        <v>0</v>
      </c>
      <c r="P360" s="196">
        <f t="shared" si="109"/>
        <v>0</v>
      </c>
      <c r="Q360" s="196">
        <f t="shared" si="109"/>
        <v>0</v>
      </c>
      <c r="R360" s="196">
        <f t="shared" si="109"/>
        <v>0</v>
      </c>
      <c r="S360" s="196">
        <f t="shared" si="109"/>
        <v>36121.524709999998</v>
      </c>
      <c r="U360" s="56"/>
      <c r="W360" s="197"/>
      <c r="X360" s="56"/>
      <c r="Y360" s="161"/>
    </row>
    <row r="361" spans="1:25" ht="12.75">
      <c r="A361" s="198" t="s">
        <v>542</v>
      </c>
      <c r="B361" s="199"/>
      <c r="C361" s="18"/>
      <c r="D361" s="18" t="s">
        <v>213</v>
      </c>
      <c r="E361" s="139">
        <f>$E$314</f>
        <v>0.38899999999999996</v>
      </c>
      <c r="F361" s="181"/>
      <c r="G361" s="180">
        <f t="shared" ref="G361:H364" si="110">SUMIF($E$11:$E$282,$D361,G$11:G$282)*$W361</f>
        <v>51374.840999999993</v>
      </c>
      <c r="H361" s="180">
        <f t="shared" si="110"/>
        <v>0</v>
      </c>
      <c r="I361" s="180">
        <f>M361-G361-H361-J361-K361-L361</f>
        <v>0</v>
      </c>
      <c r="J361" s="180">
        <f>SUMIF($E$11:$E$282,$D361,J$11:J$282)*$W361</f>
        <v>0</v>
      </c>
      <c r="K361" s="180">
        <f t="shared" ref="K361:S364" si="111">SUMIF($E$11:$E$282,$D361,K$11:K$282)*$E361</f>
        <v>0</v>
      </c>
      <c r="L361" s="180">
        <f t="shared" si="111"/>
        <v>0</v>
      </c>
      <c r="M361" s="180">
        <f t="shared" si="111"/>
        <v>51374.840999999993</v>
      </c>
      <c r="N361" s="180">
        <f t="shared" si="111"/>
        <v>0</v>
      </c>
      <c r="O361" s="180">
        <f t="shared" si="111"/>
        <v>0</v>
      </c>
      <c r="P361" s="180">
        <f t="shared" si="111"/>
        <v>0</v>
      </c>
      <c r="Q361" s="180">
        <f t="shared" si="111"/>
        <v>0</v>
      </c>
      <c r="R361" s="180">
        <f t="shared" si="111"/>
        <v>0</v>
      </c>
      <c r="S361" s="180">
        <f t="shared" si="111"/>
        <v>51374.840999999993</v>
      </c>
      <c r="U361" s="56">
        <f>M361/E361</f>
        <v>132069</v>
      </c>
      <c r="W361" s="184">
        <f>$W$314</f>
        <v>0.38899999999999996</v>
      </c>
      <c r="X361" s="56"/>
      <c r="Y361" s="161"/>
    </row>
    <row r="362" spans="1:25" ht="12.75">
      <c r="A362" s="198" t="s">
        <v>543</v>
      </c>
      <c r="B362" s="199"/>
      <c r="C362" s="18"/>
      <c r="D362" s="18" t="s">
        <v>216</v>
      </c>
      <c r="E362" s="139">
        <f>$E$314</f>
        <v>0.38899999999999996</v>
      </c>
      <c r="F362" s="181"/>
      <c r="G362" s="180">
        <f t="shared" si="110"/>
        <v>-14877.542289999999</v>
      </c>
      <c r="H362" s="180">
        <f t="shared" si="110"/>
        <v>-34681.294999999998</v>
      </c>
      <c r="I362" s="180">
        <f>M362-G362-H362-J362-K362-L362</f>
        <v>0</v>
      </c>
      <c r="J362" s="180">
        <f>SUMIF($E$11:$E$282,$D362,J$11:J$282)*$W362</f>
        <v>0</v>
      </c>
      <c r="K362" s="180">
        <f t="shared" si="111"/>
        <v>0</v>
      </c>
      <c r="L362" s="180">
        <f t="shared" si="111"/>
        <v>0</v>
      </c>
      <c r="M362" s="180">
        <f t="shared" si="111"/>
        <v>-49558.837289999996</v>
      </c>
      <c r="N362" s="180">
        <f t="shared" si="111"/>
        <v>34305.520999999993</v>
      </c>
      <c r="O362" s="180">
        <f t="shared" si="111"/>
        <v>0</v>
      </c>
      <c r="P362" s="180">
        <f t="shared" si="111"/>
        <v>0</v>
      </c>
      <c r="Q362" s="180">
        <f t="shared" si="111"/>
        <v>0</v>
      </c>
      <c r="R362" s="180">
        <f t="shared" si="111"/>
        <v>0</v>
      </c>
      <c r="S362" s="180">
        <f t="shared" si="111"/>
        <v>-15253.316289999999</v>
      </c>
      <c r="U362" s="56">
        <f>M362/E362</f>
        <v>-127400.61</v>
      </c>
      <c r="W362" s="184">
        <f>$W$314</f>
        <v>0.38899999999999996</v>
      </c>
      <c r="X362" s="56"/>
      <c r="Y362" s="161"/>
    </row>
    <row r="363" spans="1:25" ht="12.75">
      <c r="A363" s="198" t="s">
        <v>544</v>
      </c>
      <c r="B363" s="199"/>
      <c r="C363" s="18"/>
      <c r="D363" s="18" t="s">
        <v>545</v>
      </c>
      <c r="E363" s="139">
        <f>$E$314</f>
        <v>0.38899999999999996</v>
      </c>
      <c r="F363" s="181"/>
      <c r="G363" s="180">
        <f t="shared" si="110"/>
        <v>0</v>
      </c>
      <c r="H363" s="180">
        <f t="shared" si="110"/>
        <v>0</v>
      </c>
      <c r="I363" s="180">
        <f>M363-G363-H363-J363-K363-L363</f>
        <v>0</v>
      </c>
      <c r="J363" s="180">
        <f>SUMIF($E$11:$E$282,$D363,J$11:J$282)*$W363</f>
        <v>0</v>
      </c>
      <c r="K363" s="180">
        <f t="shared" si="111"/>
        <v>0</v>
      </c>
      <c r="L363" s="180">
        <f t="shared" si="111"/>
        <v>0</v>
      </c>
      <c r="M363" s="180">
        <f t="shared" si="111"/>
        <v>0</v>
      </c>
      <c r="N363" s="180">
        <f t="shared" si="111"/>
        <v>0</v>
      </c>
      <c r="O363" s="180">
        <f t="shared" si="111"/>
        <v>0</v>
      </c>
      <c r="P363" s="180">
        <f t="shared" si="111"/>
        <v>0</v>
      </c>
      <c r="Q363" s="180">
        <f t="shared" si="111"/>
        <v>0</v>
      </c>
      <c r="R363" s="180">
        <f t="shared" si="111"/>
        <v>0</v>
      </c>
      <c r="S363" s="180">
        <f t="shared" si="111"/>
        <v>0</v>
      </c>
      <c r="U363" s="56">
        <f>M363/E363</f>
        <v>0</v>
      </c>
      <c r="W363" s="184">
        <f>$W$314</f>
        <v>0.38899999999999996</v>
      </c>
      <c r="X363" s="56"/>
      <c r="Y363" s="161"/>
    </row>
    <row r="364" spans="1:25" ht="12.75">
      <c r="A364" s="204" t="s">
        <v>546</v>
      </c>
      <c r="B364" s="192"/>
      <c r="C364" s="205"/>
      <c r="D364" s="205" t="s">
        <v>88</v>
      </c>
      <c r="E364" s="194">
        <f>$E$314</f>
        <v>0.38899999999999996</v>
      </c>
      <c r="F364" s="195" t="s">
        <v>470</v>
      </c>
      <c r="G364" s="196">
        <f t="shared" si="110"/>
        <v>0</v>
      </c>
      <c r="H364" s="196">
        <f t="shared" si="110"/>
        <v>0</v>
      </c>
      <c r="I364" s="196">
        <f>M364-G364-H364-J364-K364-L364</f>
        <v>0</v>
      </c>
      <c r="J364" s="196">
        <f>SUMIF($E$11:$E$282,$D364,J$11:J$282)*$W364</f>
        <v>0</v>
      </c>
      <c r="K364" s="196">
        <f t="shared" si="111"/>
        <v>0</v>
      </c>
      <c r="L364" s="196">
        <f t="shared" si="111"/>
        <v>0</v>
      </c>
      <c r="M364" s="196">
        <f t="shared" si="111"/>
        <v>0</v>
      </c>
      <c r="N364" s="196">
        <f t="shared" si="111"/>
        <v>0</v>
      </c>
      <c r="O364" s="196">
        <f t="shared" si="111"/>
        <v>0</v>
      </c>
      <c r="P364" s="196">
        <f t="shared" si="111"/>
        <v>0</v>
      </c>
      <c r="Q364" s="196">
        <f t="shared" si="111"/>
        <v>0</v>
      </c>
      <c r="R364" s="196">
        <f t="shared" si="111"/>
        <v>0</v>
      </c>
      <c r="S364" s="196">
        <f t="shared" si="111"/>
        <v>0</v>
      </c>
      <c r="U364" s="56">
        <f>M364/E364</f>
        <v>0</v>
      </c>
      <c r="W364" s="197">
        <f>$W$314</f>
        <v>0.38899999999999996</v>
      </c>
      <c r="X364" s="56"/>
      <c r="Y364" s="161"/>
    </row>
    <row r="365" spans="1:25" ht="12.75">
      <c r="A365" s="206" t="s">
        <v>547</v>
      </c>
      <c r="B365" s="207"/>
      <c r="C365" s="208"/>
      <c r="D365" s="208"/>
      <c r="E365" s="209"/>
      <c r="F365" s="210" t="s">
        <v>470</v>
      </c>
      <c r="G365" s="211">
        <f>SUMIF($F$310:$F$364,$F365,G$310:G$364)</f>
        <v>45184504.969713323</v>
      </c>
      <c r="H365" s="211">
        <f t="shared" ref="H365:S365" si="112">SUMIF($F$310:$F$364,$F365,H$310:H$364)</f>
        <v>-19657703.243000001</v>
      </c>
      <c r="I365" s="211">
        <f t="shared" si="112"/>
        <v>-1.3453700375976041E-9</v>
      </c>
      <c r="J365" s="211">
        <f t="shared" si="112"/>
        <v>219391.117</v>
      </c>
      <c r="K365" s="211">
        <f t="shared" si="112"/>
        <v>69881.350000000006</v>
      </c>
      <c r="L365" s="211">
        <f t="shared" si="112"/>
        <v>0</v>
      </c>
      <c r="M365" s="211">
        <f t="shared" si="112"/>
        <v>25816074.19371333</v>
      </c>
      <c r="N365" s="211">
        <f t="shared" si="112"/>
        <v>-1365964.8830016665</v>
      </c>
      <c r="O365" s="211">
        <f t="shared" si="112"/>
        <v>0</v>
      </c>
      <c r="P365" s="211">
        <f t="shared" si="112"/>
        <v>-32986.048560000003</v>
      </c>
      <c r="Q365" s="211">
        <f t="shared" si="112"/>
        <v>0</v>
      </c>
      <c r="R365" s="211">
        <f t="shared" si="112"/>
        <v>-42560</v>
      </c>
      <c r="S365" s="211">
        <f t="shared" si="112"/>
        <v>24370262.812151656</v>
      </c>
      <c r="U365" s="56"/>
      <c r="W365" s="212"/>
      <c r="X365" s="56"/>
      <c r="Y365" s="161"/>
    </row>
    <row r="366" spans="1:25" ht="12.75">
      <c r="A366" s="162"/>
      <c r="B366" s="166"/>
      <c r="C366" s="82"/>
      <c r="D366" s="82"/>
      <c r="E366" s="139"/>
      <c r="F366" s="213"/>
      <c r="G366" s="180"/>
      <c r="L366" s="214"/>
      <c r="M366" s="214"/>
      <c r="N366" s="214"/>
      <c r="P366" s="88"/>
      <c r="U366" s="56"/>
      <c r="W366" s="184"/>
      <c r="X366" s="56"/>
      <c r="Y366" s="161"/>
    </row>
    <row r="367" spans="1:25" ht="12.75">
      <c r="A367" s="162" t="s">
        <v>548</v>
      </c>
      <c r="B367" s="199"/>
      <c r="C367" s="166"/>
      <c r="D367" s="166" t="s">
        <v>345</v>
      </c>
      <c r="E367" s="139">
        <f>$E$325</f>
        <v>0.35</v>
      </c>
      <c r="F367" s="181"/>
      <c r="G367" s="180">
        <f t="shared" ref="G367:S367" si="113">-SUMIF($E$11:$E$282,$D367,G$11:G$282)*$E367</f>
        <v>0</v>
      </c>
      <c r="H367" s="180">
        <f t="shared" si="113"/>
        <v>0</v>
      </c>
      <c r="I367" s="180">
        <f t="shared" si="113"/>
        <v>0</v>
      </c>
      <c r="J367" s="180">
        <f t="shared" si="113"/>
        <v>0</v>
      </c>
      <c r="K367" s="180">
        <f t="shared" si="113"/>
        <v>0</v>
      </c>
      <c r="L367" s="180">
        <f t="shared" si="113"/>
        <v>0</v>
      </c>
      <c r="M367" s="180">
        <f t="shared" si="113"/>
        <v>0</v>
      </c>
      <c r="N367" s="180">
        <f t="shared" si="113"/>
        <v>0</v>
      </c>
      <c r="O367" s="180">
        <f t="shared" si="113"/>
        <v>0</v>
      </c>
      <c r="P367" s="180">
        <f t="shared" si="113"/>
        <v>0</v>
      </c>
      <c r="Q367" s="180">
        <f t="shared" si="113"/>
        <v>0</v>
      </c>
      <c r="R367" s="180">
        <f t="shared" si="113"/>
        <v>0</v>
      </c>
      <c r="S367" s="180">
        <f t="shared" si="113"/>
        <v>0</v>
      </c>
      <c r="U367" s="56">
        <f>M367/E367</f>
        <v>0</v>
      </c>
      <c r="W367" s="184">
        <f>$E$325</f>
        <v>0.35</v>
      </c>
      <c r="X367" s="56"/>
      <c r="Y367" s="161"/>
    </row>
    <row r="368" spans="1:25" ht="12.75">
      <c r="A368" s="206" t="s">
        <v>549</v>
      </c>
      <c r="B368" s="207"/>
      <c r="C368" s="208"/>
      <c r="D368" s="208"/>
      <c r="E368" s="209"/>
      <c r="F368" s="210" t="s">
        <v>345</v>
      </c>
      <c r="G368" s="211">
        <f>G365-G367</f>
        <v>45184504.969713323</v>
      </c>
      <c r="H368" s="211">
        <f t="shared" ref="H368:S368" si="114">H365-H367</f>
        <v>-19657703.243000001</v>
      </c>
      <c r="I368" s="211">
        <f t="shared" si="114"/>
        <v>-1.3453700375976041E-9</v>
      </c>
      <c r="J368" s="211">
        <f t="shared" si="114"/>
        <v>219391.117</v>
      </c>
      <c r="K368" s="211">
        <f t="shared" si="114"/>
        <v>69881.350000000006</v>
      </c>
      <c r="L368" s="211">
        <f t="shared" si="114"/>
        <v>0</v>
      </c>
      <c r="M368" s="211">
        <f t="shared" si="114"/>
        <v>25816074.19371333</v>
      </c>
      <c r="N368" s="211">
        <f t="shared" si="114"/>
        <v>-1365964.8830016665</v>
      </c>
      <c r="O368" s="211">
        <f t="shared" si="114"/>
        <v>0</v>
      </c>
      <c r="P368" s="211">
        <f t="shared" si="114"/>
        <v>-32986.048560000003</v>
      </c>
      <c r="Q368" s="211">
        <f t="shared" si="114"/>
        <v>0</v>
      </c>
      <c r="R368" s="211">
        <f t="shared" si="114"/>
        <v>-42560</v>
      </c>
      <c r="S368" s="211">
        <f t="shared" si="114"/>
        <v>24370262.812151656</v>
      </c>
      <c r="U368" s="56"/>
      <c r="W368" s="212"/>
      <c r="X368" s="56"/>
      <c r="Y368" s="161"/>
    </row>
    <row r="369" spans="1:25" ht="12.75">
      <c r="A369" s="162"/>
      <c r="B369" s="166"/>
      <c r="C369" s="82"/>
      <c r="D369" s="82"/>
      <c r="E369" s="139"/>
      <c r="F369" s="181"/>
      <c r="G369" s="180"/>
      <c r="L369" s="214"/>
      <c r="M369" s="214"/>
      <c r="N369" s="214"/>
      <c r="P369" s="88"/>
      <c r="U369" s="56"/>
      <c r="W369" s="184"/>
      <c r="X369" s="56"/>
      <c r="Y369" s="161"/>
    </row>
    <row r="370" spans="1:25" ht="12.75">
      <c r="A370" s="185" t="s">
        <v>550</v>
      </c>
      <c r="B370" s="186"/>
      <c r="C370" s="186"/>
      <c r="D370" s="186"/>
      <c r="E370" s="188"/>
      <c r="F370" s="189"/>
      <c r="G370" s="180"/>
      <c r="L370" s="214"/>
      <c r="M370" s="214"/>
      <c r="N370" s="214"/>
      <c r="P370" s="88"/>
      <c r="U370" s="56"/>
      <c r="W370" s="190"/>
      <c r="X370" s="56"/>
      <c r="Y370" s="161"/>
    </row>
    <row r="371" spans="1:25" ht="12.75">
      <c r="A371" s="191" t="s">
        <v>551</v>
      </c>
      <c r="B371" s="193"/>
      <c r="C371" s="193"/>
      <c r="D371" s="193" t="s">
        <v>552</v>
      </c>
      <c r="E371" s="194"/>
      <c r="F371" s="195" t="s">
        <v>553</v>
      </c>
      <c r="G371" s="196">
        <f>SUM(G372:G386)</f>
        <v>-111379055.72889535</v>
      </c>
      <c r="H371" s="196">
        <f>SUM(H372:H386)</f>
        <v>36106687.570999995</v>
      </c>
      <c r="I371" s="196">
        <f t="shared" ref="I371:S371" si="115">SUM(I372:I386)</f>
        <v>-1.6880221664905548E-9</v>
      </c>
      <c r="J371" s="196">
        <f>SUM(J372:J386)</f>
        <v>91945.170999999973</v>
      </c>
      <c r="K371" s="196">
        <f t="shared" si="115"/>
        <v>-273974.25599999999</v>
      </c>
      <c r="L371" s="196">
        <f t="shared" si="115"/>
        <v>0</v>
      </c>
      <c r="M371" s="196">
        <f>SUM(M372:M386)</f>
        <v>-75454397.242895365</v>
      </c>
      <c r="N371" s="196">
        <f t="shared" si="115"/>
        <v>-3907472.0418389868</v>
      </c>
      <c r="O371" s="196">
        <f t="shared" si="115"/>
        <v>0</v>
      </c>
      <c r="P371" s="196">
        <f t="shared" si="115"/>
        <v>0</v>
      </c>
      <c r="Q371" s="196">
        <f t="shared" si="115"/>
        <v>0</v>
      </c>
      <c r="R371" s="196">
        <f t="shared" si="115"/>
        <v>-79662.531999999992</v>
      </c>
      <c r="S371" s="196">
        <f t="shared" si="115"/>
        <v>-79441531.816734344</v>
      </c>
      <c r="U371" s="56"/>
      <c r="W371" s="197"/>
      <c r="X371" s="56"/>
      <c r="Y371" s="161"/>
    </row>
    <row r="372" spans="1:25" ht="12.75">
      <c r="A372" s="198" t="s">
        <v>554</v>
      </c>
      <c r="B372" s="199"/>
      <c r="C372" s="18"/>
      <c r="D372" s="18" t="s">
        <v>90</v>
      </c>
      <c r="E372" s="139">
        <f t="shared" ref="E372:E385" si="116">$E$314</f>
        <v>0.38899999999999996</v>
      </c>
      <c r="F372" s="181"/>
      <c r="G372" s="180">
        <f t="shared" ref="G372:H386" si="117">SUMIF($E$11:$E$282,$D372,G$11:G$282)*$W372</f>
        <v>-32858546.554709896</v>
      </c>
      <c r="H372" s="180">
        <f t="shared" si="117"/>
        <v>-991892.81699999992</v>
      </c>
      <c r="I372" s="180">
        <f t="shared" ref="I372:I386" si="118">M372-G372-H372-J372-K372-L372</f>
        <v>-3.7252902984619141E-9</v>
      </c>
      <c r="J372" s="180">
        <f t="shared" ref="J372:J386" si="119">SUMIF($E$11:$E$282,$D372,J$11:J$282)*$W372</f>
        <v>-665533.52299999993</v>
      </c>
      <c r="K372" s="180">
        <f t="shared" ref="K372:S386" si="120">SUMIF($E$11:$E$282,$D372,K$11:K$282)*$E372</f>
        <v>0</v>
      </c>
      <c r="L372" s="180">
        <f t="shared" si="120"/>
        <v>0</v>
      </c>
      <c r="M372" s="180">
        <f t="shared" si="120"/>
        <v>-34515972.8947099</v>
      </c>
      <c r="N372" s="180">
        <f t="shared" si="120"/>
        <v>-162032.09554999997</v>
      </c>
      <c r="O372" s="180">
        <f t="shared" si="120"/>
        <v>0</v>
      </c>
      <c r="P372" s="180">
        <f t="shared" si="120"/>
        <v>0</v>
      </c>
      <c r="Q372" s="180">
        <f t="shared" si="120"/>
        <v>0</v>
      </c>
      <c r="R372" s="180">
        <f t="shared" si="120"/>
        <v>0</v>
      </c>
      <c r="S372" s="180">
        <f t="shared" si="120"/>
        <v>-34678004.990259901</v>
      </c>
      <c r="U372" s="56">
        <f t="shared" ref="U372:U386" si="121">M372/E372</f>
        <v>-88730007.441413641</v>
      </c>
      <c r="W372" s="184">
        <f t="shared" ref="W372:W385" si="122">$W$314</f>
        <v>0.38899999999999996</v>
      </c>
      <c r="X372" s="56"/>
      <c r="Y372" s="161"/>
    </row>
    <row r="373" spans="1:25" ht="12.75">
      <c r="A373" s="198" t="s">
        <v>555</v>
      </c>
      <c r="B373" s="199"/>
      <c r="C373" s="18"/>
      <c r="D373" s="18" t="s">
        <v>556</v>
      </c>
      <c r="E373" s="139">
        <f t="shared" si="116"/>
        <v>0.38899999999999996</v>
      </c>
      <c r="F373" s="181"/>
      <c r="G373" s="180">
        <f t="shared" si="117"/>
        <v>0</v>
      </c>
      <c r="H373" s="180">
        <f t="shared" si="117"/>
        <v>0</v>
      </c>
      <c r="I373" s="180">
        <f t="shared" si="118"/>
        <v>0</v>
      </c>
      <c r="J373" s="180">
        <f t="shared" si="119"/>
        <v>0</v>
      </c>
      <c r="K373" s="180">
        <f t="shared" si="120"/>
        <v>0</v>
      </c>
      <c r="L373" s="180">
        <f t="shared" si="120"/>
        <v>0</v>
      </c>
      <c r="M373" s="180">
        <f t="shared" si="120"/>
        <v>0</v>
      </c>
      <c r="N373" s="180">
        <f t="shared" si="120"/>
        <v>0</v>
      </c>
      <c r="O373" s="180">
        <f t="shared" si="120"/>
        <v>0</v>
      </c>
      <c r="P373" s="180">
        <f t="shared" si="120"/>
        <v>0</v>
      </c>
      <c r="Q373" s="180">
        <f t="shared" si="120"/>
        <v>0</v>
      </c>
      <c r="R373" s="180">
        <f t="shared" si="120"/>
        <v>0</v>
      </c>
      <c r="S373" s="180">
        <f t="shared" si="120"/>
        <v>0</v>
      </c>
      <c r="U373" s="56">
        <f t="shared" si="121"/>
        <v>0</v>
      </c>
      <c r="W373" s="184">
        <f t="shared" si="122"/>
        <v>0.38899999999999996</v>
      </c>
      <c r="X373" s="56"/>
      <c r="Y373" s="161"/>
    </row>
    <row r="374" spans="1:25" ht="12.75">
      <c r="A374" s="198" t="s">
        <v>557</v>
      </c>
      <c r="B374" s="199"/>
      <c r="C374" s="18"/>
      <c r="D374" s="18" t="s">
        <v>113</v>
      </c>
      <c r="E374" s="139">
        <f t="shared" si="116"/>
        <v>0.38899999999999996</v>
      </c>
      <c r="F374" s="181"/>
      <c r="G374" s="180">
        <f t="shared" si="117"/>
        <v>-88648567.324102938</v>
      </c>
      <c r="H374" s="180">
        <f t="shared" si="117"/>
        <v>41335495.156999998</v>
      </c>
      <c r="I374" s="180">
        <f t="shared" si="118"/>
        <v>1.1059455573558807E-9</v>
      </c>
      <c r="J374" s="180">
        <f t="shared" si="119"/>
        <v>757478.6939999999</v>
      </c>
      <c r="K374" s="180">
        <f t="shared" si="120"/>
        <v>-273974.25599999999</v>
      </c>
      <c r="L374" s="180">
        <f t="shared" si="120"/>
        <v>0</v>
      </c>
      <c r="M374" s="180">
        <f t="shared" si="120"/>
        <v>-46829567.729102939</v>
      </c>
      <c r="N374" s="180">
        <f t="shared" si="120"/>
        <v>-4153533.3938289867</v>
      </c>
      <c r="O374" s="180">
        <f t="shared" si="120"/>
        <v>0</v>
      </c>
      <c r="P374" s="180">
        <f t="shared" si="120"/>
        <v>0</v>
      </c>
      <c r="Q374" s="180">
        <f t="shared" si="120"/>
        <v>0</v>
      </c>
      <c r="R374" s="180">
        <f t="shared" si="120"/>
        <v>-79662.531999999992</v>
      </c>
      <c r="S374" s="180">
        <f t="shared" si="120"/>
        <v>-51062763.654931925</v>
      </c>
      <c r="U374" s="56">
        <f t="shared" si="121"/>
        <v>-120384492.87687132</v>
      </c>
      <c r="W374" s="184">
        <f t="shared" si="122"/>
        <v>0.38899999999999996</v>
      </c>
      <c r="X374" s="56"/>
      <c r="Y374" s="161"/>
    </row>
    <row r="375" spans="1:25" ht="12.75">
      <c r="A375" s="198" t="s">
        <v>558</v>
      </c>
      <c r="B375" s="199"/>
      <c r="C375" s="18"/>
      <c r="D375" s="18" t="s">
        <v>118</v>
      </c>
      <c r="E375" s="139">
        <f t="shared" si="116"/>
        <v>0.38899999999999996</v>
      </c>
      <c r="F375" s="181"/>
      <c r="G375" s="180">
        <f t="shared" si="117"/>
        <v>4884878.7809999995</v>
      </c>
      <c r="H375" s="180">
        <f t="shared" si="117"/>
        <v>0</v>
      </c>
      <c r="I375" s="180">
        <f t="shared" si="118"/>
        <v>0</v>
      </c>
      <c r="J375" s="180">
        <f t="shared" si="119"/>
        <v>0</v>
      </c>
      <c r="K375" s="180">
        <f t="shared" si="120"/>
        <v>0</v>
      </c>
      <c r="L375" s="180">
        <f t="shared" si="120"/>
        <v>0</v>
      </c>
      <c r="M375" s="180">
        <f t="shared" si="120"/>
        <v>4884878.7809999995</v>
      </c>
      <c r="N375" s="180">
        <f t="shared" si="120"/>
        <v>446820.95999999996</v>
      </c>
      <c r="O375" s="180">
        <f t="shared" si="120"/>
        <v>0</v>
      </c>
      <c r="P375" s="180">
        <f t="shared" si="120"/>
        <v>0</v>
      </c>
      <c r="Q375" s="180">
        <f t="shared" si="120"/>
        <v>0</v>
      </c>
      <c r="R375" s="180">
        <f t="shared" si="120"/>
        <v>0</v>
      </c>
      <c r="S375" s="180">
        <f t="shared" si="120"/>
        <v>5331699.7409999995</v>
      </c>
      <c r="U375" s="56">
        <f t="shared" si="121"/>
        <v>12557529</v>
      </c>
      <c r="W375" s="184">
        <f t="shared" si="122"/>
        <v>0.38899999999999996</v>
      </c>
      <c r="X375" s="56"/>
      <c r="Y375" s="161"/>
    </row>
    <row r="376" spans="1:25" ht="12.75">
      <c r="A376" s="198" t="s">
        <v>559</v>
      </c>
      <c r="B376" s="199"/>
      <c r="C376" s="18"/>
      <c r="D376" s="18" t="s">
        <v>146</v>
      </c>
      <c r="E376" s="139">
        <f t="shared" si="116"/>
        <v>0.38899999999999996</v>
      </c>
      <c r="F376" s="181"/>
      <c r="G376" s="180">
        <f t="shared" si="117"/>
        <v>77062.066999999995</v>
      </c>
      <c r="H376" s="180">
        <f t="shared" si="117"/>
        <v>27463.010999999999</v>
      </c>
      <c r="I376" s="180">
        <f t="shared" si="118"/>
        <v>0</v>
      </c>
      <c r="J376" s="180">
        <f t="shared" si="119"/>
        <v>0</v>
      </c>
      <c r="K376" s="180">
        <f t="shared" si="120"/>
        <v>0</v>
      </c>
      <c r="L376" s="180">
        <f t="shared" si="120"/>
        <v>0</v>
      </c>
      <c r="M376" s="180">
        <f t="shared" si="120"/>
        <v>104525.07799999999</v>
      </c>
      <c r="N376" s="180">
        <f t="shared" si="120"/>
        <v>0</v>
      </c>
      <c r="O376" s="180">
        <f t="shared" si="120"/>
        <v>0</v>
      </c>
      <c r="P376" s="180">
        <f t="shared" si="120"/>
        <v>0</v>
      </c>
      <c r="Q376" s="180">
        <f t="shared" si="120"/>
        <v>0</v>
      </c>
      <c r="R376" s="180">
        <f t="shared" si="120"/>
        <v>0</v>
      </c>
      <c r="S376" s="180">
        <f t="shared" si="120"/>
        <v>104525.07799999999</v>
      </c>
      <c r="U376" s="56">
        <f t="shared" si="121"/>
        <v>268702</v>
      </c>
      <c r="W376" s="184">
        <f t="shared" si="122"/>
        <v>0.38899999999999996</v>
      </c>
      <c r="X376" s="56"/>
      <c r="Y376" s="161"/>
    </row>
    <row r="377" spans="1:25" ht="12.75">
      <c r="A377" s="200" t="s">
        <v>476</v>
      </c>
      <c r="B377" s="199"/>
      <c r="C377" s="201"/>
      <c r="D377" s="201" t="s">
        <v>560</v>
      </c>
      <c r="E377" s="139">
        <f t="shared" si="116"/>
        <v>0.38899999999999996</v>
      </c>
      <c r="F377" s="181"/>
      <c r="G377" s="180">
        <f t="shared" si="117"/>
        <v>0</v>
      </c>
      <c r="H377" s="180">
        <f t="shared" si="117"/>
        <v>0</v>
      </c>
      <c r="I377" s="180">
        <f t="shared" si="118"/>
        <v>0</v>
      </c>
      <c r="J377" s="180">
        <f t="shared" si="119"/>
        <v>0</v>
      </c>
      <c r="K377" s="180">
        <f t="shared" si="120"/>
        <v>0</v>
      </c>
      <c r="L377" s="180">
        <f t="shared" si="120"/>
        <v>0</v>
      </c>
      <c r="M377" s="180">
        <f t="shared" si="120"/>
        <v>0</v>
      </c>
      <c r="N377" s="180">
        <f t="shared" si="120"/>
        <v>0</v>
      </c>
      <c r="O377" s="180">
        <f t="shared" si="120"/>
        <v>0</v>
      </c>
      <c r="P377" s="180">
        <f t="shared" si="120"/>
        <v>0</v>
      </c>
      <c r="Q377" s="180">
        <f t="shared" si="120"/>
        <v>0</v>
      </c>
      <c r="R377" s="180">
        <f t="shared" si="120"/>
        <v>0</v>
      </c>
      <c r="S377" s="180">
        <f t="shared" si="120"/>
        <v>0</v>
      </c>
      <c r="U377" s="56">
        <f t="shared" si="121"/>
        <v>0</v>
      </c>
      <c r="W377" s="184">
        <f t="shared" si="122"/>
        <v>0.38899999999999996</v>
      </c>
      <c r="X377" s="56"/>
      <c r="Y377" s="161"/>
    </row>
    <row r="378" spans="1:25" ht="12.75">
      <c r="A378" s="200" t="s">
        <v>561</v>
      </c>
      <c r="B378" s="199"/>
      <c r="C378" s="201"/>
      <c r="D378" s="201" t="s">
        <v>562</v>
      </c>
      <c r="E378" s="139">
        <f t="shared" si="116"/>
        <v>0.38899999999999996</v>
      </c>
      <c r="F378" s="181"/>
      <c r="G378" s="180">
        <f t="shared" si="117"/>
        <v>0</v>
      </c>
      <c r="H378" s="180">
        <f t="shared" si="117"/>
        <v>0</v>
      </c>
      <c r="I378" s="180">
        <f t="shared" si="118"/>
        <v>0</v>
      </c>
      <c r="J378" s="180">
        <f t="shared" si="119"/>
        <v>0</v>
      </c>
      <c r="K378" s="180">
        <f t="shared" si="120"/>
        <v>0</v>
      </c>
      <c r="L378" s="180">
        <f t="shared" si="120"/>
        <v>0</v>
      </c>
      <c r="M378" s="180">
        <f t="shared" si="120"/>
        <v>0</v>
      </c>
      <c r="N378" s="180">
        <f t="shared" si="120"/>
        <v>0</v>
      </c>
      <c r="O378" s="180">
        <f t="shared" si="120"/>
        <v>0</v>
      </c>
      <c r="P378" s="180">
        <f t="shared" si="120"/>
        <v>0</v>
      </c>
      <c r="Q378" s="180">
        <f t="shared" si="120"/>
        <v>0</v>
      </c>
      <c r="R378" s="180">
        <f t="shared" si="120"/>
        <v>0</v>
      </c>
      <c r="S378" s="180">
        <f t="shared" si="120"/>
        <v>0</v>
      </c>
      <c r="U378" s="56">
        <f t="shared" si="121"/>
        <v>0</v>
      </c>
      <c r="W378" s="184">
        <f t="shared" si="122"/>
        <v>0.38899999999999996</v>
      </c>
      <c r="X378" s="56"/>
      <c r="Y378" s="161"/>
    </row>
    <row r="379" spans="1:25" ht="12.75">
      <c r="A379" s="198" t="s">
        <v>563</v>
      </c>
      <c r="B379" s="199"/>
      <c r="C379" s="18"/>
      <c r="D379" s="18" t="s">
        <v>564</v>
      </c>
      <c r="E379" s="139">
        <f t="shared" si="116"/>
        <v>0.38899999999999996</v>
      </c>
      <c r="F379" s="181"/>
      <c r="G379" s="180">
        <f t="shared" si="117"/>
        <v>0</v>
      </c>
      <c r="H379" s="180">
        <f t="shared" si="117"/>
        <v>0</v>
      </c>
      <c r="I379" s="180">
        <f t="shared" si="118"/>
        <v>0</v>
      </c>
      <c r="J379" s="180">
        <f t="shared" si="119"/>
        <v>0</v>
      </c>
      <c r="K379" s="180">
        <f t="shared" si="120"/>
        <v>0</v>
      </c>
      <c r="L379" s="180">
        <f t="shared" si="120"/>
        <v>0</v>
      </c>
      <c r="M379" s="180">
        <f t="shared" si="120"/>
        <v>0</v>
      </c>
      <c r="N379" s="180">
        <f t="shared" si="120"/>
        <v>0</v>
      </c>
      <c r="O379" s="180">
        <f t="shared" si="120"/>
        <v>0</v>
      </c>
      <c r="P379" s="180">
        <f t="shared" si="120"/>
        <v>0</v>
      </c>
      <c r="Q379" s="180">
        <f t="shared" si="120"/>
        <v>0</v>
      </c>
      <c r="R379" s="180">
        <f t="shared" si="120"/>
        <v>0</v>
      </c>
      <c r="S379" s="180">
        <f t="shared" si="120"/>
        <v>0</v>
      </c>
      <c r="U379" s="56">
        <f t="shared" si="121"/>
        <v>0</v>
      </c>
      <c r="W379" s="184">
        <f t="shared" si="122"/>
        <v>0.38899999999999996</v>
      </c>
      <c r="X379" s="56"/>
      <c r="Y379" s="161"/>
    </row>
    <row r="380" spans="1:25" ht="12.75">
      <c r="A380" s="215" t="s">
        <v>565</v>
      </c>
      <c r="B380" s="199"/>
      <c r="C380" s="201"/>
      <c r="D380" s="201" t="s">
        <v>566</v>
      </c>
      <c r="E380" s="139">
        <f t="shared" si="116"/>
        <v>0.38899999999999996</v>
      </c>
      <c r="F380" s="181"/>
      <c r="G380" s="180">
        <f t="shared" si="117"/>
        <v>0</v>
      </c>
      <c r="H380" s="180">
        <f t="shared" si="117"/>
        <v>0</v>
      </c>
      <c r="I380" s="180">
        <f t="shared" si="118"/>
        <v>0</v>
      </c>
      <c r="J380" s="180">
        <f t="shared" si="119"/>
        <v>0</v>
      </c>
      <c r="K380" s="180">
        <f t="shared" si="120"/>
        <v>0</v>
      </c>
      <c r="L380" s="180">
        <f t="shared" si="120"/>
        <v>0</v>
      </c>
      <c r="M380" s="180">
        <f t="shared" si="120"/>
        <v>0</v>
      </c>
      <c r="N380" s="180">
        <f t="shared" si="120"/>
        <v>0</v>
      </c>
      <c r="O380" s="180">
        <f t="shared" si="120"/>
        <v>0</v>
      </c>
      <c r="P380" s="180">
        <f t="shared" si="120"/>
        <v>0</v>
      </c>
      <c r="Q380" s="180">
        <f t="shared" si="120"/>
        <v>0</v>
      </c>
      <c r="R380" s="180">
        <f t="shared" si="120"/>
        <v>0</v>
      </c>
      <c r="S380" s="180">
        <f t="shared" si="120"/>
        <v>0</v>
      </c>
      <c r="U380" s="56">
        <f t="shared" si="121"/>
        <v>0</v>
      </c>
      <c r="W380" s="184">
        <f t="shared" si="122"/>
        <v>0.38899999999999996</v>
      </c>
      <c r="X380" s="56"/>
      <c r="Y380" s="161"/>
    </row>
    <row r="381" spans="1:25" ht="12.75">
      <c r="A381" s="215" t="s">
        <v>567</v>
      </c>
      <c r="B381" s="199"/>
      <c r="C381" s="201"/>
      <c r="D381" s="201" t="s">
        <v>568</v>
      </c>
      <c r="E381" s="139">
        <f t="shared" si="116"/>
        <v>0.38899999999999996</v>
      </c>
      <c r="F381" s="181"/>
      <c r="G381" s="180">
        <f t="shared" si="117"/>
        <v>0</v>
      </c>
      <c r="H381" s="180">
        <f t="shared" si="117"/>
        <v>0</v>
      </c>
      <c r="I381" s="180">
        <f t="shared" si="118"/>
        <v>0</v>
      </c>
      <c r="J381" s="180">
        <f t="shared" si="119"/>
        <v>0</v>
      </c>
      <c r="K381" s="180">
        <f t="shared" si="120"/>
        <v>0</v>
      </c>
      <c r="L381" s="180">
        <f t="shared" si="120"/>
        <v>0</v>
      </c>
      <c r="M381" s="180">
        <f t="shared" si="120"/>
        <v>0</v>
      </c>
      <c r="N381" s="180">
        <f t="shared" si="120"/>
        <v>0</v>
      </c>
      <c r="O381" s="180">
        <f t="shared" si="120"/>
        <v>0</v>
      </c>
      <c r="P381" s="180">
        <f t="shared" si="120"/>
        <v>0</v>
      </c>
      <c r="Q381" s="180">
        <f t="shared" si="120"/>
        <v>0</v>
      </c>
      <c r="R381" s="180">
        <f t="shared" si="120"/>
        <v>0</v>
      </c>
      <c r="S381" s="180">
        <f t="shared" si="120"/>
        <v>0</v>
      </c>
      <c r="U381" s="56">
        <f t="shared" si="121"/>
        <v>0</v>
      </c>
      <c r="W381" s="184">
        <f t="shared" si="122"/>
        <v>0.38899999999999996</v>
      </c>
      <c r="X381" s="56"/>
      <c r="Y381" s="161"/>
    </row>
    <row r="382" spans="1:25" ht="12.75">
      <c r="A382" s="215" t="s">
        <v>569</v>
      </c>
      <c r="B382" s="199"/>
      <c r="C382" s="201"/>
      <c r="D382" s="201" t="s">
        <v>570</v>
      </c>
      <c r="E382" s="139">
        <f t="shared" si="116"/>
        <v>0.38899999999999996</v>
      </c>
      <c r="F382" s="181"/>
      <c r="G382" s="180">
        <f t="shared" si="117"/>
        <v>0</v>
      </c>
      <c r="H382" s="180">
        <f t="shared" si="117"/>
        <v>0</v>
      </c>
      <c r="I382" s="180">
        <f t="shared" si="118"/>
        <v>0</v>
      </c>
      <c r="J382" s="180">
        <f t="shared" si="119"/>
        <v>0</v>
      </c>
      <c r="K382" s="180">
        <f t="shared" si="120"/>
        <v>0</v>
      </c>
      <c r="L382" s="180">
        <f t="shared" si="120"/>
        <v>0</v>
      </c>
      <c r="M382" s="180">
        <f t="shared" si="120"/>
        <v>0</v>
      </c>
      <c r="N382" s="180">
        <f t="shared" si="120"/>
        <v>0</v>
      </c>
      <c r="O382" s="180">
        <f t="shared" si="120"/>
        <v>0</v>
      </c>
      <c r="P382" s="180">
        <f t="shared" si="120"/>
        <v>0</v>
      </c>
      <c r="Q382" s="180">
        <f t="shared" si="120"/>
        <v>0</v>
      </c>
      <c r="R382" s="180">
        <f t="shared" si="120"/>
        <v>0</v>
      </c>
      <c r="S382" s="180">
        <f t="shared" si="120"/>
        <v>0</v>
      </c>
      <c r="U382" s="56">
        <f t="shared" si="121"/>
        <v>0</v>
      </c>
      <c r="W382" s="184">
        <f t="shared" si="122"/>
        <v>0.38899999999999996</v>
      </c>
      <c r="X382" s="56"/>
      <c r="Y382" s="161"/>
    </row>
    <row r="383" spans="1:25" ht="12.75">
      <c r="A383" s="215" t="s">
        <v>571</v>
      </c>
      <c r="B383" s="199"/>
      <c r="C383" s="201"/>
      <c r="D383" s="201" t="s">
        <v>268</v>
      </c>
      <c r="E383" s="139">
        <f t="shared" si="116"/>
        <v>0.38899999999999996</v>
      </c>
      <c r="F383" s="181"/>
      <c r="G383" s="180">
        <f t="shared" si="117"/>
        <v>0</v>
      </c>
      <c r="H383" s="180">
        <f t="shared" si="117"/>
        <v>0</v>
      </c>
      <c r="I383" s="180">
        <f t="shared" si="118"/>
        <v>0</v>
      </c>
      <c r="J383" s="180">
        <f t="shared" si="119"/>
        <v>0</v>
      </c>
      <c r="K383" s="180">
        <f t="shared" si="120"/>
        <v>0</v>
      </c>
      <c r="L383" s="180">
        <f t="shared" si="120"/>
        <v>0</v>
      </c>
      <c r="M383" s="180">
        <f t="shared" si="120"/>
        <v>0</v>
      </c>
      <c r="N383" s="180">
        <f t="shared" si="120"/>
        <v>0</v>
      </c>
      <c r="O383" s="180">
        <f t="shared" si="120"/>
        <v>0</v>
      </c>
      <c r="P383" s="180">
        <f t="shared" si="120"/>
        <v>0</v>
      </c>
      <c r="Q383" s="180">
        <f t="shared" si="120"/>
        <v>0</v>
      </c>
      <c r="R383" s="180">
        <f t="shared" si="120"/>
        <v>0</v>
      </c>
      <c r="S383" s="180">
        <f t="shared" si="120"/>
        <v>0</v>
      </c>
      <c r="U383" s="56">
        <f t="shared" si="121"/>
        <v>0</v>
      </c>
      <c r="W383" s="184">
        <f t="shared" si="122"/>
        <v>0.38899999999999996</v>
      </c>
      <c r="X383" s="56"/>
      <c r="Y383" s="161"/>
    </row>
    <row r="384" spans="1:25" ht="12.75">
      <c r="A384" s="198" t="s">
        <v>572</v>
      </c>
      <c r="B384" s="199"/>
      <c r="C384" s="18"/>
      <c r="D384" s="18" t="s">
        <v>126</v>
      </c>
      <c r="E384" s="139">
        <f t="shared" si="116"/>
        <v>0.38899999999999996</v>
      </c>
      <c r="F384" s="181"/>
      <c r="G384" s="180">
        <f t="shared" si="117"/>
        <v>0</v>
      </c>
      <c r="H384" s="180">
        <f t="shared" si="117"/>
        <v>0</v>
      </c>
      <c r="I384" s="180">
        <f t="shared" si="118"/>
        <v>0</v>
      </c>
      <c r="J384" s="180">
        <f t="shared" si="119"/>
        <v>0</v>
      </c>
      <c r="K384" s="180">
        <f t="shared" si="120"/>
        <v>0</v>
      </c>
      <c r="L384" s="180">
        <f t="shared" si="120"/>
        <v>0</v>
      </c>
      <c r="M384" s="180">
        <f t="shared" si="120"/>
        <v>0</v>
      </c>
      <c r="N384" s="180">
        <f t="shared" si="120"/>
        <v>0</v>
      </c>
      <c r="O384" s="180">
        <f t="shared" si="120"/>
        <v>0</v>
      </c>
      <c r="P384" s="180">
        <f t="shared" si="120"/>
        <v>0</v>
      </c>
      <c r="Q384" s="180">
        <f t="shared" si="120"/>
        <v>0</v>
      </c>
      <c r="R384" s="180">
        <f t="shared" si="120"/>
        <v>0</v>
      </c>
      <c r="S384" s="180">
        <f t="shared" si="120"/>
        <v>0</v>
      </c>
      <c r="U384" s="56">
        <f t="shared" si="121"/>
        <v>0</v>
      </c>
      <c r="W384" s="184">
        <f t="shared" si="122"/>
        <v>0.38899999999999996</v>
      </c>
      <c r="X384" s="56"/>
      <c r="Y384" s="161"/>
    </row>
    <row r="385" spans="1:25" ht="12.75">
      <c r="A385" s="198" t="s">
        <v>573</v>
      </c>
      <c r="B385" s="199"/>
      <c r="C385" s="18"/>
      <c r="D385" s="18" t="s">
        <v>107</v>
      </c>
      <c r="E385" s="139">
        <f t="shared" si="116"/>
        <v>0.38899999999999996</v>
      </c>
      <c r="F385" s="181"/>
      <c r="G385" s="180">
        <f t="shared" si="117"/>
        <v>0</v>
      </c>
      <c r="H385" s="180">
        <f t="shared" si="117"/>
        <v>0</v>
      </c>
      <c r="I385" s="180">
        <f t="shared" si="118"/>
        <v>0</v>
      </c>
      <c r="J385" s="180">
        <f t="shared" si="119"/>
        <v>0</v>
      </c>
      <c r="K385" s="180">
        <f t="shared" si="120"/>
        <v>0</v>
      </c>
      <c r="L385" s="180">
        <f t="shared" si="120"/>
        <v>0</v>
      </c>
      <c r="M385" s="180">
        <f t="shared" si="120"/>
        <v>0</v>
      </c>
      <c r="N385" s="180">
        <f t="shared" si="120"/>
        <v>0</v>
      </c>
      <c r="O385" s="180">
        <f t="shared" si="120"/>
        <v>0</v>
      </c>
      <c r="P385" s="180">
        <f t="shared" si="120"/>
        <v>0</v>
      </c>
      <c r="Q385" s="180">
        <f t="shared" si="120"/>
        <v>0</v>
      </c>
      <c r="R385" s="180">
        <f t="shared" si="120"/>
        <v>0</v>
      </c>
      <c r="S385" s="180">
        <f t="shared" si="120"/>
        <v>0</v>
      </c>
      <c r="U385" s="56">
        <f t="shared" si="121"/>
        <v>0</v>
      </c>
      <c r="W385" s="184">
        <f t="shared" si="122"/>
        <v>0.38899999999999996</v>
      </c>
      <c r="X385" s="56"/>
      <c r="Y385" s="161"/>
    </row>
    <row r="386" spans="1:25" ht="12.75">
      <c r="A386" s="198" t="s">
        <v>574</v>
      </c>
      <c r="C386" s="216" t="s">
        <v>575</v>
      </c>
      <c r="D386" s="18" t="s">
        <v>358</v>
      </c>
      <c r="E386" s="139">
        <f>$E$333</f>
        <v>3.9E-2</v>
      </c>
      <c r="F386" s="181"/>
      <c r="G386" s="180">
        <f t="shared" si="117"/>
        <v>5166117.3019174766</v>
      </c>
      <c r="H386" s="180">
        <f t="shared" si="117"/>
        <v>-4264377.78</v>
      </c>
      <c r="I386" s="180">
        <f t="shared" si="118"/>
        <v>9.3132257461547852E-10</v>
      </c>
      <c r="J386" s="180">
        <f t="shared" si="119"/>
        <v>0</v>
      </c>
      <c r="K386" s="180">
        <f t="shared" si="120"/>
        <v>0</v>
      </c>
      <c r="L386" s="180">
        <f t="shared" si="120"/>
        <v>0</v>
      </c>
      <c r="M386" s="180">
        <f t="shared" si="120"/>
        <v>901739.5219174769</v>
      </c>
      <c r="N386" s="180">
        <f t="shared" si="120"/>
        <v>-38727.51246000002</v>
      </c>
      <c r="O386" s="180">
        <f t="shared" si="120"/>
        <v>0</v>
      </c>
      <c r="P386" s="180">
        <f t="shared" si="120"/>
        <v>0</v>
      </c>
      <c r="Q386" s="180">
        <f t="shared" si="120"/>
        <v>0</v>
      </c>
      <c r="R386" s="180">
        <f t="shared" si="120"/>
        <v>0</v>
      </c>
      <c r="S386" s="180">
        <f t="shared" si="120"/>
        <v>863012.0094574769</v>
      </c>
      <c r="U386" s="56">
        <f t="shared" si="121"/>
        <v>23121526.203012228</v>
      </c>
      <c r="W386" s="184">
        <f>$W$333</f>
        <v>3.9E-2</v>
      </c>
      <c r="X386" s="56"/>
      <c r="Y386" s="161"/>
    </row>
    <row r="387" spans="1:25" ht="12.75">
      <c r="A387" s="191" t="s">
        <v>576</v>
      </c>
      <c r="B387" s="192"/>
      <c r="C387" s="193"/>
      <c r="D387" s="193" t="s">
        <v>577</v>
      </c>
      <c r="E387" s="194"/>
      <c r="F387" s="195" t="s">
        <v>553</v>
      </c>
      <c r="G387" s="196">
        <f>SUM(G388:G396)</f>
        <v>-119328.02564999998</v>
      </c>
      <c r="H387" s="196">
        <f>SUM(H388:H396)</f>
        <v>0</v>
      </c>
      <c r="I387" s="196">
        <f t="shared" ref="I387:S387" si="123">SUM(I388:I396)</f>
        <v>0</v>
      </c>
      <c r="J387" s="196">
        <f>SUM(J388:J396)</f>
        <v>0</v>
      </c>
      <c r="K387" s="196">
        <f t="shared" si="123"/>
        <v>0</v>
      </c>
      <c r="L387" s="196">
        <f t="shared" si="123"/>
        <v>0</v>
      </c>
      <c r="M387" s="196">
        <f>SUM(M388:M396)</f>
        <v>-119328.02564999998</v>
      </c>
      <c r="N387" s="196">
        <f t="shared" si="123"/>
        <v>0</v>
      </c>
      <c r="O387" s="196">
        <f t="shared" si="123"/>
        <v>0</v>
      </c>
      <c r="P387" s="196">
        <f t="shared" si="123"/>
        <v>0</v>
      </c>
      <c r="Q387" s="196">
        <f t="shared" si="123"/>
        <v>0</v>
      </c>
      <c r="R387" s="196">
        <f t="shared" si="123"/>
        <v>0</v>
      </c>
      <c r="S387" s="196">
        <f t="shared" si="123"/>
        <v>-119328.02564999998</v>
      </c>
      <c r="U387" s="56"/>
      <c r="W387" s="197"/>
      <c r="X387" s="56"/>
      <c r="Y387" s="161"/>
    </row>
    <row r="388" spans="1:25" ht="12.75">
      <c r="A388" s="198" t="s">
        <v>554</v>
      </c>
      <c r="B388" s="199"/>
      <c r="C388" s="18"/>
      <c r="D388" s="18" t="s">
        <v>123</v>
      </c>
      <c r="E388" s="139">
        <f t="shared" ref="E388:E398" si="124">$E$314</f>
        <v>0.38899999999999996</v>
      </c>
      <c r="F388" s="181"/>
      <c r="G388" s="180">
        <f t="shared" ref="G388:H398" si="125">SUMIF($E$11:$E$282,$D388,G$11:G$282)*$W388</f>
        <v>27203.995349999994</v>
      </c>
      <c r="H388" s="180">
        <f t="shared" si="125"/>
        <v>0</v>
      </c>
      <c r="I388" s="180">
        <f t="shared" ref="I388:I396" si="126">M388-G388-H388-J388-K388-L388</f>
        <v>0</v>
      </c>
      <c r="J388" s="180">
        <f t="shared" ref="J388:J398" si="127">SUMIF($E$11:$E$282,$D388,J$11:J$282)*$W388</f>
        <v>0</v>
      </c>
      <c r="K388" s="180">
        <f t="shared" ref="K388:S398" si="128">SUMIF($E$11:$E$282,$D388,K$11:K$282)*$E388</f>
        <v>0</v>
      </c>
      <c r="L388" s="180">
        <f t="shared" si="128"/>
        <v>0</v>
      </c>
      <c r="M388" s="180">
        <f t="shared" si="128"/>
        <v>27203.995349999994</v>
      </c>
      <c r="N388" s="180">
        <f t="shared" si="128"/>
        <v>0</v>
      </c>
      <c r="O388" s="180">
        <f t="shared" si="128"/>
        <v>0</v>
      </c>
      <c r="P388" s="180">
        <f t="shared" si="128"/>
        <v>0</v>
      </c>
      <c r="Q388" s="180">
        <f t="shared" si="128"/>
        <v>0</v>
      </c>
      <c r="R388" s="180">
        <f t="shared" si="128"/>
        <v>0</v>
      </c>
      <c r="S388" s="180">
        <f t="shared" si="128"/>
        <v>27203.995349999994</v>
      </c>
      <c r="U388" s="56">
        <f t="shared" ref="U388:U398" si="129">M388/E388</f>
        <v>69933.149999999994</v>
      </c>
      <c r="W388" s="184">
        <f t="shared" ref="W388:W398" si="130">$W$314</f>
        <v>0.38899999999999996</v>
      </c>
      <c r="X388" s="56"/>
      <c r="Y388" s="161"/>
    </row>
    <row r="389" spans="1:25" ht="12.75">
      <c r="A389" s="198" t="s">
        <v>555</v>
      </c>
      <c r="B389" s="199"/>
      <c r="C389" s="18"/>
      <c r="D389" s="18" t="s">
        <v>578</v>
      </c>
      <c r="E389" s="139">
        <f t="shared" si="124"/>
        <v>0.38899999999999996</v>
      </c>
      <c r="F389" s="181"/>
      <c r="G389" s="180">
        <f t="shared" si="125"/>
        <v>0</v>
      </c>
      <c r="H389" s="180">
        <f t="shared" si="125"/>
        <v>0</v>
      </c>
      <c r="I389" s="180">
        <f t="shared" si="126"/>
        <v>0</v>
      </c>
      <c r="J389" s="180">
        <f t="shared" si="127"/>
        <v>0</v>
      </c>
      <c r="K389" s="180">
        <f t="shared" si="128"/>
        <v>0</v>
      </c>
      <c r="L389" s="180">
        <f t="shared" si="128"/>
        <v>0</v>
      </c>
      <c r="M389" s="180">
        <f t="shared" si="128"/>
        <v>0</v>
      </c>
      <c r="N389" s="180">
        <f t="shared" si="128"/>
        <v>0</v>
      </c>
      <c r="O389" s="180">
        <f t="shared" si="128"/>
        <v>0</v>
      </c>
      <c r="P389" s="180">
        <f t="shared" si="128"/>
        <v>0</v>
      </c>
      <c r="Q389" s="180">
        <f t="shared" si="128"/>
        <v>0</v>
      </c>
      <c r="R389" s="180">
        <f t="shared" si="128"/>
        <v>0</v>
      </c>
      <c r="S389" s="180">
        <f t="shared" si="128"/>
        <v>0</v>
      </c>
      <c r="U389" s="56">
        <f t="shared" si="129"/>
        <v>0</v>
      </c>
      <c r="W389" s="184">
        <f t="shared" si="130"/>
        <v>0.38899999999999996</v>
      </c>
      <c r="X389" s="56"/>
      <c r="Y389" s="161"/>
    </row>
    <row r="390" spans="1:25" ht="12.75">
      <c r="A390" s="198" t="s">
        <v>579</v>
      </c>
      <c r="B390" s="199"/>
      <c r="C390" s="18"/>
      <c r="D390" s="18" t="s">
        <v>131</v>
      </c>
      <c r="E390" s="139">
        <f t="shared" si="124"/>
        <v>0.38899999999999996</v>
      </c>
      <c r="F390" s="181"/>
      <c r="G390" s="180">
        <f t="shared" si="125"/>
        <v>-146532.02099999998</v>
      </c>
      <c r="H390" s="180">
        <f t="shared" si="125"/>
        <v>0</v>
      </c>
      <c r="I390" s="180">
        <f t="shared" si="126"/>
        <v>0</v>
      </c>
      <c r="J390" s="180">
        <f t="shared" si="127"/>
        <v>0</v>
      </c>
      <c r="K390" s="180">
        <f t="shared" si="128"/>
        <v>0</v>
      </c>
      <c r="L390" s="180">
        <f t="shared" si="128"/>
        <v>0</v>
      </c>
      <c r="M390" s="180">
        <f t="shared" si="128"/>
        <v>-146532.02099999998</v>
      </c>
      <c r="N390" s="180">
        <f t="shared" si="128"/>
        <v>0</v>
      </c>
      <c r="O390" s="180">
        <f t="shared" si="128"/>
        <v>0</v>
      </c>
      <c r="P390" s="180">
        <f t="shared" si="128"/>
        <v>0</v>
      </c>
      <c r="Q390" s="180">
        <f t="shared" si="128"/>
        <v>0</v>
      </c>
      <c r="R390" s="180">
        <f t="shared" si="128"/>
        <v>0</v>
      </c>
      <c r="S390" s="180">
        <f t="shared" si="128"/>
        <v>-146532.02099999998</v>
      </c>
      <c r="U390" s="56">
        <f t="shared" si="129"/>
        <v>-376689</v>
      </c>
      <c r="W390" s="184">
        <f t="shared" si="130"/>
        <v>0.38899999999999996</v>
      </c>
      <c r="X390" s="56"/>
      <c r="Y390" s="161"/>
    </row>
    <row r="391" spans="1:25" ht="12.75">
      <c r="A391" s="198" t="s">
        <v>580</v>
      </c>
      <c r="B391" s="199"/>
      <c r="C391" s="18"/>
      <c r="D391" s="18" t="s">
        <v>581</v>
      </c>
      <c r="E391" s="139">
        <f t="shared" si="124"/>
        <v>0.38899999999999996</v>
      </c>
      <c r="F391" s="181"/>
      <c r="G391" s="180">
        <f t="shared" si="125"/>
        <v>0</v>
      </c>
      <c r="H391" s="180">
        <f t="shared" si="125"/>
        <v>0</v>
      </c>
      <c r="I391" s="180">
        <f t="shared" si="126"/>
        <v>0</v>
      </c>
      <c r="J391" s="180">
        <f t="shared" si="127"/>
        <v>0</v>
      </c>
      <c r="K391" s="180">
        <f t="shared" si="128"/>
        <v>0</v>
      </c>
      <c r="L391" s="180">
        <f t="shared" si="128"/>
        <v>0</v>
      </c>
      <c r="M391" s="180">
        <f t="shared" si="128"/>
        <v>0</v>
      </c>
      <c r="N391" s="180">
        <f t="shared" si="128"/>
        <v>0</v>
      </c>
      <c r="O391" s="180">
        <f t="shared" si="128"/>
        <v>0</v>
      </c>
      <c r="P391" s="180">
        <f t="shared" si="128"/>
        <v>0</v>
      </c>
      <c r="Q391" s="180">
        <f t="shared" si="128"/>
        <v>0</v>
      </c>
      <c r="R391" s="180">
        <f t="shared" si="128"/>
        <v>0</v>
      </c>
      <c r="S391" s="180">
        <f t="shared" si="128"/>
        <v>0</v>
      </c>
      <c r="U391" s="56">
        <f t="shared" si="129"/>
        <v>0</v>
      </c>
      <c r="W391" s="184">
        <f t="shared" si="130"/>
        <v>0.38899999999999996</v>
      </c>
      <c r="X391" s="56"/>
      <c r="Y391" s="161"/>
    </row>
    <row r="392" spans="1:25" ht="12.75">
      <c r="A392" s="215" t="s">
        <v>582</v>
      </c>
      <c r="B392" s="199"/>
      <c r="C392" s="201"/>
      <c r="D392" s="201" t="s">
        <v>583</v>
      </c>
      <c r="E392" s="139">
        <f t="shared" si="124"/>
        <v>0.38899999999999996</v>
      </c>
      <c r="F392" s="181"/>
      <c r="G392" s="180">
        <f t="shared" si="125"/>
        <v>0</v>
      </c>
      <c r="H392" s="180">
        <f t="shared" si="125"/>
        <v>0</v>
      </c>
      <c r="I392" s="180">
        <f t="shared" si="126"/>
        <v>0</v>
      </c>
      <c r="J392" s="180">
        <f t="shared" si="127"/>
        <v>0</v>
      </c>
      <c r="K392" s="180">
        <f t="shared" si="128"/>
        <v>0</v>
      </c>
      <c r="L392" s="180">
        <f t="shared" si="128"/>
        <v>0</v>
      </c>
      <c r="M392" s="180">
        <f t="shared" si="128"/>
        <v>0</v>
      </c>
      <c r="N392" s="180">
        <f t="shared" si="128"/>
        <v>0</v>
      </c>
      <c r="O392" s="180">
        <f t="shared" si="128"/>
        <v>0</v>
      </c>
      <c r="P392" s="180">
        <f t="shared" si="128"/>
        <v>0</v>
      </c>
      <c r="Q392" s="180">
        <f t="shared" si="128"/>
        <v>0</v>
      </c>
      <c r="R392" s="180">
        <f t="shared" si="128"/>
        <v>0</v>
      </c>
      <c r="S392" s="180">
        <f t="shared" si="128"/>
        <v>0</v>
      </c>
      <c r="U392" s="56">
        <f t="shared" si="129"/>
        <v>0</v>
      </c>
      <c r="W392" s="184">
        <f t="shared" si="130"/>
        <v>0.38899999999999996</v>
      </c>
      <c r="X392" s="56"/>
      <c r="Y392" s="161"/>
    </row>
    <row r="393" spans="1:25" ht="12.75">
      <c r="A393" s="215" t="s">
        <v>584</v>
      </c>
      <c r="B393" s="199"/>
      <c r="C393" s="201"/>
      <c r="D393" s="201" t="s">
        <v>585</v>
      </c>
      <c r="E393" s="139">
        <f t="shared" si="124"/>
        <v>0.38899999999999996</v>
      </c>
      <c r="F393" s="181"/>
      <c r="G393" s="180">
        <f t="shared" si="125"/>
        <v>0</v>
      </c>
      <c r="H393" s="180">
        <f t="shared" si="125"/>
        <v>0</v>
      </c>
      <c r="I393" s="180">
        <f t="shared" si="126"/>
        <v>0</v>
      </c>
      <c r="J393" s="180">
        <f t="shared" si="127"/>
        <v>0</v>
      </c>
      <c r="K393" s="180">
        <f t="shared" si="128"/>
        <v>0</v>
      </c>
      <c r="L393" s="180">
        <f t="shared" si="128"/>
        <v>0</v>
      </c>
      <c r="M393" s="180">
        <f t="shared" si="128"/>
        <v>0</v>
      </c>
      <c r="N393" s="180">
        <f t="shared" si="128"/>
        <v>0</v>
      </c>
      <c r="O393" s="180">
        <f t="shared" si="128"/>
        <v>0</v>
      </c>
      <c r="P393" s="180">
        <f t="shared" si="128"/>
        <v>0</v>
      </c>
      <c r="Q393" s="180">
        <f t="shared" si="128"/>
        <v>0</v>
      </c>
      <c r="R393" s="180">
        <f t="shared" si="128"/>
        <v>0</v>
      </c>
      <c r="S393" s="180">
        <f t="shared" si="128"/>
        <v>0</v>
      </c>
      <c r="U393" s="56">
        <f t="shared" si="129"/>
        <v>0</v>
      </c>
      <c r="W393" s="184">
        <f t="shared" si="130"/>
        <v>0.38899999999999996</v>
      </c>
      <c r="X393" s="56"/>
      <c r="Y393" s="161"/>
    </row>
    <row r="394" spans="1:25" ht="12.75">
      <c r="A394" s="198" t="s">
        <v>586</v>
      </c>
      <c r="B394" s="199"/>
      <c r="C394" s="18"/>
      <c r="D394" s="18" t="s">
        <v>135</v>
      </c>
      <c r="E394" s="139">
        <f t="shared" si="124"/>
        <v>0.38899999999999996</v>
      </c>
      <c r="F394" s="181"/>
      <c r="G394" s="180">
        <f t="shared" si="125"/>
        <v>0</v>
      </c>
      <c r="H394" s="180">
        <f t="shared" si="125"/>
        <v>0</v>
      </c>
      <c r="I394" s="180">
        <f t="shared" si="126"/>
        <v>0</v>
      </c>
      <c r="J394" s="180">
        <f t="shared" si="127"/>
        <v>0</v>
      </c>
      <c r="K394" s="180">
        <f t="shared" si="128"/>
        <v>0</v>
      </c>
      <c r="L394" s="180">
        <f t="shared" si="128"/>
        <v>0</v>
      </c>
      <c r="M394" s="180">
        <f t="shared" si="128"/>
        <v>0</v>
      </c>
      <c r="N394" s="180">
        <f t="shared" si="128"/>
        <v>0</v>
      </c>
      <c r="O394" s="180">
        <f t="shared" si="128"/>
        <v>0</v>
      </c>
      <c r="P394" s="180">
        <f t="shared" si="128"/>
        <v>0</v>
      </c>
      <c r="Q394" s="180">
        <f t="shared" si="128"/>
        <v>0</v>
      </c>
      <c r="R394" s="180">
        <f t="shared" si="128"/>
        <v>0</v>
      </c>
      <c r="S394" s="180">
        <f t="shared" si="128"/>
        <v>0</v>
      </c>
      <c r="U394" s="56">
        <f t="shared" si="129"/>
        <v>0</v>
      </c>
      <c r="W394" s="184">
        <f t="shared" si="130"/>
        <v>0.38899999999999996</v>
      </c>
      <c r="X394" s="56"/>
      <c r="Y394" s="161"/>
    </row>
    <row r="395" spans="1:25" ht="12.75">
      <c r="A395" s="198" t="s">
        <v>587</v>
      </c>
      <c r="B395" s="199"/>
      <c r="C395" s="18"/>
      <c r="D395" s="18" t="s">
        <v>588</v>
      </c>
      <c r="E395" s="139">
        <f t="shared" si="124"/>
        <v>0.38899999999999996</v>
      </c>
      <c r="F395" s="181"/>
      <c r="G395" s="180">
        <f t="shared" si="125"/>
        <v>0</v>
      </c>
      <c r="H395" s="180">
        <f t="shared" si="125"/>
        <v>0</v>
      </c>
      <c r="I395" s="180">
        <f t="shared" si="126"/>
        <v>0</v>
      </c>
      <c r="J395" s="180">
        <f t="shared" si="127"/>
        <v>0</v>
      </c>
      <c r="K395" s="180">
        <f t="shared" si="128"/>
        <v>0</v>
      </c>
      <c r="L395" s="180">
        <f t="shared" si="128"/>
        <v>0</v>
      </c>
      <c r="M395" s="180">
        <f t="shared" si="128"/>
        <v>0</v>
      </c>
      <c r="N395" s="180">
        <f t="shared" si="128"/>
        <v>0</v>
      </c>
      <c r="O395" s="180">
        <f t="shared" si="128"/>
        <v>0</v>
      </c>
      <c r="P395" s="180">
        <f t="shared" si="128"/>
        <v>0</v>
      </c>
      <c r="Q395" s="180">
        <f t="shared" si="128"/>
        <v>0</v>
      </c>
      <c r="R395" s="180">
        <f t="shared" si="128"/>
        <v>0</v>
      </c>
      <c r="S395" s="180">
        <f t="shared" si="128"/>
        <v>0</v>
      </c>
      <c r="U395" s="56">
        <f t="shared" si="129"/>
        <v>0</v>
      </c>
      <c r="W395" s="184">
        <f t="shared" si="130"/>
        <v>0.38899999999999996</v>
      </c>
      <c r="X395" s="56"/>
      <c r="Y395" s="161"/>
    </row>
    <row r="396" spans="1:25" ht="12.75">
      <c r="A396" s="198" t="s">
        <v>589</v>
      </c>
      <c r="B396" s="199"/>
      <c r="C396" s="18"/>
      <c r="D396" s="18" t="s">
        <v>590</v>
      </c>
      <c r="E396" s="139">
        <f t="shared" si="124"/>
        <v>0.38899999999999996</v>
      </c>
      <c r="F396" s="181"/>
      <c r="G396" s="180">
        <f t="shared" si="125"/>
        <v>0</v>
      </c>
      <c r="H396" s="180">
        <f t="shared" si="125"/>
        <v>0</v>
      </c>
      <c r="I396" s="180">
        <f t="shared" si="126"/>
        <v>0</v>
      </c>
      <c r="J396" s="180">
        <f t="shared" si="127"/>
        <v>0</v>
      </c>
      <c r="K396" s="180">
        <f t="shared" si="128"/>
        <v>0</v>
      </c>
      <c r="L396" s="180">
        <f t="shared" si="128"/>
        <v>0</v>
      </c>
      <c r="M396" s="180">
        <f t="shared" si="128"/>
        <v>0</v>
      </c>
      <c r="N396" s="180">
        <f t="shared" si="128"/>
        <v>0</v>
      </c>
      <c r="O396" s="180">
        <f t="shared" si="128"/>
        <v>0</v>
      </c>
      <c r="P396" s="180">
        <f t="shared" si="128"/>
        <v>0</v>
      </c>
      <c r="Q396" s="180">
        <f t="shared" si="128"/>
        <v>0</v>
      </c>
      <c r="R396" s="180">
        <f t="shared" si="128"/>
        <v>0</v>
      </c>
      <c r="S396" s="180">
        <f t="shared" si="128"/>
        <v>0</v>
      </c>
      <c r="U396" s="56">
        <f t="shared" si="129"/>
        <v>0</v>
      </c>
      <c r="W396" s="184">
        <f t="shared" si="130"/>
        <v>0.38899999999999996</v>
      </c>
      <c r="X396" s="56"/>
      <c r="Y396" s="161"/>
    </row>
    <row r="397" spans="1:25" ht="12.75">
      <c r="A397" s="191" t="s">
        <v>591</v>
      </c>
      <c r="B397" s="192"/>
      <c r="C397" s="193"/>
      <c r="D397" s="193" t="s">
        <v>275</v>
      </c>
      <c r="E397" s="194">
        <f t="shared" si="124"/>
        <v>0.38899999999999996</v>
      </c>
      <c r="F397" s="195" t="s">
        <v>553</v>
      </c>
      <c r="G397" s="196">
        <f t="shared" si="125"/>
        <v>0</v>
      </c>
      <c r="H397" s="196">
        <f t="shared" si="125"/>
        <v>0</v>
      </c>
      <c r="I397" s="196">
        <f>M397-G397-H397-J397-K397-L397</f>
        <v>0</v>
      </c>
      <c r="J397" s="196">
        <f t="shared" si="127"/>
        <v>0</v>
      </c>
      <c r="K397" s="196">
        <f t="shared" si="128"/>
        <v>0</v>
      </c>
      <c r="L397" s="196">
        <f t="shared" si="128"/>
        <v>0</v>
      </c>
      <c r="M397" s="196">
        <f t="shared" si="128"/>
        <v>0</v>
      </c>
      <c r="N397" s="196">
        <f t="shared" si="128"/>
        <v>0</v>
      </c>
      <c r="O397" s="196">
        <f t="shared" si="128"/>
        <v>0</v>
      </c>
      <c r="P397" s="196">
        <f t="shared" si="128"/>
        <v>0</v>
      </c>
      <c r="Q397" s="196">
        <f t="shared" si="128"/>
        <v>0</v>
      </c>
      <c r="R397" s="196">
        <f t="shared" si="128"/>
        <v>0</v>
      </c>
      <c r="S397" s="196">
        <f t="shared" si="128"/>
        <v>0</v>
      </c>
      <c r="U397" s="56">
        <f t="shared" si="129"/>
        <v>0</v>
      </c>
      <c r="W397" s="197">
        <f t="shared" si="130"/>
        <v>0.38899999999999996</v>
      </c>
      <c r="X397" s="56"/>
      <c r="Y397" s="161"/>
    </row>
    <row r="398" spans="1:25" ht="12.75">
      <c r="A398" s="191" t="s">
        <v>592</v>
      </c>
      <c r="B398" s="192"/>
      <c r="C398" s="193"/>
      <c r="D398" s="193" t="s">
        <v>257</v>
      </c>
      <c r="E398" s="194">
        <f t="shared" si="124"/>
        <v>0.38899999999999996</v>
      </c>
      <c r="F398" s="195" t="s">
        <v>553</v>
      </c>
      <c r="G398" s="196">
        <f t="shared" si="125"/>
        <v>200833.49571999998</v>
      </c>
      <c r="H398" s="196">
        <f t="shared" si="125"/>
        <v>0</v>
      </c>
      <c r="I398" s="196">
        <f>M398-G398-H398-J398-K398-L398</f>
        <v>0</v>
      </c>
      <c r="J398" s="196">
        <f t="shared" si="127"/>
        <v>0</v>
      </c>
      <c r="K398" s="196">
        <f t="shared" si="128"/>
        <v>0</v>
      </c>
      <c r="L398" s="196">
        <f t="shared" si="128"/>
        <v>0</v>
      </c>
      <c r="M398" s="196">
        <f t="shared" si="128"/>
        <v>200833.49571999998</v>
      </c>
      <c r="N398" s="196">
        <f t="shared" si="128"/>
        <v>0</v>
      </c>
      <c r="O398" s="196">
        <f t="shared" si="128"/>
        <v>108051.37466999998</v>
      </c>
      <c r="P398" s="196">
        <f t="shared" si="128"/>
        <v>0</v>
      </c>
      <c r="Q398" s="196">
        <f t="shared" si="128"/>
        <v>0</v>
      </c>
      <c r="R398" s="196">
        <f t="shared" si="128"/>
        <v>0</v>
      </c>
      <c r="S398" s="196">
        <f t="shared" si="128"/>
        <v>308884.87038999988</v>
      </c>
      <c r="U398" s="56">
        <f t="shared" si="129"/>
        <v>516281.48</v>
      </c>
      <c r="W398" s="197">
        <f t="shared" si="130"/>
        <v>0.38899999999999996</v>
      </c>
      <c r="X398" s="56"/>
      <c r="Y398" s="161"/>
    </row>
    <row r="399" spans="1:25" ht="12.75">
      <c r="A399" s="191" t="s">
        <v>593</v>
      </c>
      <c r="B399" s="192"/>
      <c r="C399" s="193"/>
      <c r="D399" s="193" t="s">
        <v>594</v>
      </c>
      <c r="E399" s="194"/>
      <c r="F399" s="195" t="s">
        <v>553</v>
      </c>
      <c r="G399" s="196">
        <f>SUM(G400:G407)</f>
        <v>-3713902.423</v>
      </c>
      <c r="H399" s="196">
        <f>SUM(H400:H407)</f>
        <v>-333947.16399999999</v>
      </c>
      <c r="I399" s="196">
        <f t="shared" ref="I399:S399" si="131">SUM(I400:I407)</f>
        <v>2.0963852875865996E-10</v>
      </c>
      <c r="J399" s="196">
        <f>SUM(J400:J407)</f>
        <v>-132</v>
      </c>
      <c r="K399" s="196">
        <f t="shared" si="131"/>
        <v>0</v>
      </c>
      <c r="L399" s="196">
        <f t="shared" si="131"/>
        <v>0</v>
      </c>
      <c r="M399" s="196">
        <f>SUM(M400:M407)</f>
        <v>-4047981.5869999998</v>
      </c>
      <c r="N399" s="196">
        <f t="shared" si="131"/>
        <v>-75223.652999999991</v>
      </c>
      <c r="O399" s="196">
        <f t="shared" si="131"/>
        <v>0</v>
      </c>
      <c r="P399" s="196">
        <f t="shared" si="131"/>
        <v>0</v>
      </c>
      <c r="Q399" s="196">
        <f t="shared" si="131"/>
        <v>0</v>
      </c>
      <c r="R399" s="196">
        <f t="shared" si="131"/>
        <v>0</v>
      </c>
      <c r="S399" s="196">
        <f t="shared" si="131"/>
        <v>-4123205.2399999993</v>
      </c>
      <c r="U399" s="56"/>
      <c r="W399" s="197"/>
      <c r="X399" s="56"/>
      <c r="Y399" s="161"/>
    </row>
    <row r="400" spans="1:25" ht="12.75">
      <c r="A400" s="198" t="s">
        <v>595</v>
      </c>
      <c r="B400" s="199"/>
      <c r="C400" s="18"/>
      <c r="D400" s="18" t="s">
        <v>137</v>
      </c>
      <c r="E400" s="139">
        <f t="shared" ref="E400:E412" si="132">$E$314</f>
        <v>0.38899999999999996</v>
      </c>
      <c r="F400" s="181"/>
      <c r="G400" s="180">
        <f t="shared" ref="G400:H412" si="133">SUMIF($E$11:$E$282,$D400,G$11:G$282)*$W400</f>
        <v>-2006542.1339999998</v>
      </c>
      <c r="H400" s="180">
        <f t="shared" si="133"/>
        <v>0</v>
      </c>
      <c r="I400" s="180">
        <f t="shared" ref="I400:I412" si="134">M400-G400-H400-J400-K400-L400</f>
        <v>0</v>
      </c>
      <c r="J400" s="180">
        <f t="shared" ref="J400:J412" si="135">SUMIF($E$11:$E$282,$D400,J$11:J$282)*$W400</f>
        <v>-132</v>
      </c>
      <c r="K400" s="180">
        <f t="shared" ref="K400:S412" si="136">SUMIF($E$11:$E$282,$D400,K$11:K$282)*$E400</f>
        <v>0</v>
      </c>
      <c r="L400" s="180">
        <f t="shared" si="136"/>
        <v>0</v>
      </c>
      <c r="M400" s="180">
        <f t="shared" si="136"/>
        <v>-2006674.1339999998</v>
      </c>
      <c r="N400" s="180">
        <f t="shared" si="136"/>
        <v>-126424.61099999999</v>
      </c>
      <c r="O400" s="180">
        <f t="shared" si="136"/>
        <v>0</v>
      </c>
      <c r="P400" s="180">
        <f t="shared" si="136"/>
        <v>0</v>
      </c>
      <c r="Q400" s="180">
        <f t="shared" si="136"/>
        <v>0</v>
      </c>
      <c r="R400" s="180">
        <f t="shared" si="136"/>
        <v>0</v>
      </c>
      <c r="S400" s="180">
        <f t="shared" si="136"/>
        <v>-2133098.7449999996</v>
      </c>
      <c r="U400" s="56">
        <f t="shared" ref="U400:U412" si="137">M400/E400</f>
        <v>-5158545.3316195374</v>
      </c>
      <c r="W400" s="184">
        <f t="shared" ref="W400:W412" si="138">$W$314</f>
        <v>0.38899999999999996</v>
      </c>
      <c r="X400" s="56"/>
      <c r="Y400" s="161"/>
    </row>
    <row r="401" spans="1:25" ht="12.75">
      <c r="A401" s="200" t="s">
        <v>596</v>
      </c>
      <c r="B401" s="199"/>
      <c r="C401" s="201"/>
      <c r="D401" s="201" t="s">
        <v>597</v>
      </c>
      <c r="E401" s="139">
        <f t="shared" si="132"/>
        <v>0.38899999999999996</v>
      </c>
      <c r="F401" s="181"/>
      <c r="G401" s="180">
        <f t="shared" si="133"/>
        <v>0</v>
      </c>
      <c r="H401" s="180">
        <f t="shared" si="133"/>
        <v>0</v>
      </c>
      <c r="I401" s="180">
        <f t="shared" si="134"/>
        <v>0</v>
      </c>
      <c r="J401" s="180">
        <f t="shared" si="135"/>
        <v>0</v>
      </c>
      <c r="K401" s="180">
        <f t="shared" si="136"/>
        <v>0</v>
      </c>
      <c r="L401" s="180">
        <f t="shared" si="136"/>
        <v>0</v>
      </c>
      <c r="M401" s="180">
        <f t="shared" si="136"/>
        <v>0</v>
      </c>
      <c r="N401" s="180">
        <f t="shared" si="136"/>
        <v>0</v>
      </c>
      <c r="O401" s="180">
        <f t="shared" si="136"/>
        <v>0</v>
      </c>
      <c r="P401" s="180">
        <f t="shared" si="136"/>
        <v>0</v>
      </c>
      <c r="Q401" s="180">
        <f t="shared" si="136"/>
        <v>0</v>
      </c>
      <c r="R401" s="180">
        <f t="shared" si="136"/>
        <v>0</v>
      </c>
      <c r="S401" s="180">
        <f t="shared" si="136"/>
        <v>0</v>
      </c>
      <c r="U401" s="56">
        <f t="shared" si="137"/>
        <v>0</v>
      </c>
      <c r="W401" s="184">
        <f t="shared" si="138"/>
        <v>0.38899999999999996</v>
      </c>
      <c r="X401" s="56"/>
      <c r="Y401" s="161"/>
    </row>
    <row r="402" spans="1:25" ht="12.75">
      <c r="A402" s="198" t="s">
        <v>598</v>
      </c>
      <c r="B402" s="199"/>
      <c r="C402" s="18"/>
      <c r="D402" s="18" t="s">
        <v>599</v>
      </c>
      <c r="E402" s="139">
        <f t="shared" si="132"/>
        <v>0.38899999999999996</v>
      </c>
      <c r="F402" s="181"/>
      <c r="G402" s="180">
        <f t="shared" si="133"/>
        <v>0</v>
      </c>
      <c r="H402" s="180">
        <f t="shared" si="133"/>
        <v>0</v>
      </c>
      <c r="I402" s="180">
        <f t="shared" si="134"/>
        <v>0</v>
      </c>
      <c r="J402" s="180">
        <f t="shared" si="135"/>
        <v>0</v>
      </c>
      <c r="K402" s="180">
        <f t="shared" si="136"/>
        <v>0</v>
      </c>
      <c r="L402" s="180">
        <f t="shared" si="136"/>
        <v>0</v>
      </c>
      <c r="M402" s="180">
        <f t="shared" si="136"/>
        <v>0</v>
      </c>
      <c r="N402" s="180">
        <f t="shared" si="136"/>
        <v>0</v>
      </c>
      <c r="O402" s="180">
        <f t="shared" si="136"/>
        <v>0</v>
      </c>
      <c r="P402" s="180">
        <f t="shared" si="136"/>
        <v>0</v>
      </c>
      <c r="Q402" s="180">
        <f t="shared" si="136"/>
        <v>0</v>
      </c>
      <c r="R402" s="180">
        <f t="shared" si="136"/>
        <v>0</v>
      </c>
      <c r="S402" s="180">
        <f t="shared" si="136"/>
        <v>0</v>
      </c>
      <c r="U402" s="56">
        <f t="shared" si="137"/>
        <v>0</v>
      </c>
      <c r="W402" s="184">
        <f t="shared" si="138"/>
        <v>0.38899999999999996</v>
      </c>
      <c r="X402" s="56"/>
      <c r="Y402" s="161"/>
    </row>
    <row r="403" spans="1:25" ht="12.75">
      <c r="A403" s="198" t="s">
        <v>600</v>
      </c>
      <c r="B403" s="199"/>
      <c r="C403" s="18"/>
      <c r="D403" s="18" t="s">
        <v>69</v>
      </c>
      <c r="E403" s="139">
        <f t="shared" si="132"/>
        <v>0.38899999999999996</v>
      </c>
      <c r="F403" s="181"/>
      <c r="G403" s="180">
        <f t="shared" si="133"/>
        <v>0</v>
      </c>
      <c r="H403" s="180">
        <f t="shared" si="133"/>
        <v>0</v>
      </c>
      <c r="I403" s="180">
        <f t="shared" si="134"/>
        <v>0</v>
      </c>
      <c r="J403" s="180">
        <f t="shared" si="135"/>
        <v>0</v>
      </c>
      <c r="K403" s="180">
        <f t="shared" si="136"/>
        <v>0</v>
      </c>
      <c r="L403" s="180">
        <f t="shared" si="136"/>
        <v>0</v>
      </c>
      <c r="M403" s="180">
        <f t="shared" si="136"/>
        <v>0</v>
      </c>
      <c r="N403" s="180">
        <f t="shared" si="136"/>
        <v>0</v>
      </c>
      <c r="O403" s="180">
        <f t="shared" si="136"/>
        <v>0</v>
      </c>
      <c r="P403" s="180">
        <f t="shared" si="136"/>
        <v>0</v>
      </c>
      <c r="Q403" s="180">
        <f t="shared" si="136"/>
        <v>0</v>
      </c>
      <c r="R403" s="180">
        <f t="shared" si="136"/>
        <v>0</v>
      </c>
      <c r="S403" s="180">
        <f t="shared" si="136"/>
        <v>0</v>
      </c>
      <c r="U403" s="56">
        <f t="shared" si="137"/>
        <v>0</v>
      </c>
      <c r="W403" s="184">
        <f t="shared" si="138"/>
        <v>0.38899999999999996</v>
      </c>
      <c r="X403" s="56"/>
      <c r="Y403" s="161"/>
    </row>
    <row r="404" spans="1:25" ht="12.75">
      <c r="A404" s="198" t="s">
        <v>601</v>
      </c>
      <c r="B404" s="199"/>
      <c r="C404" s="18"/>
      <c r="D404" s="18" t="s">
        <v>602</v>
      </c>
      <c r="E404" s="139">
        <f t="shared" si="132"/>
        <v>0.38899999999999996</v>
      </c>
      <c r="F404" s="181"/>
      <c r="G404" s="180">
        <f t="shared" si="133"/>
        <v>0</v>
      </c>
      <c r="H404" s="180">
        <f t="shared" si="133"/>
        <v>0</v>
      </c>
      <c r="I404" s="180">
        <f t="shared" si="134"/>
        <v>0</v>
      </c>
      <c r="J404" s="180">
        <f t="shared" si="135"/>
        <v>0</v>
      </c>
      <c r="K404" s="180">
        <f t="shared" si="136"/>
        <v>0</v>
      </c>
      <c r="L404" s="180">
        <f t="shared" si="136"/>
        <v>0</v>
      </c>
      <c r="M404" s="180">
        <f t="shared" si="136"/>
        <v>0</v>
      </c>
      <c r="N404" s="180">
        <f t="shared" si="136"/>
        <v>0</v>
      </c>
      <c r="O404" s="180">
        <f t="shared" si="136"/>
        <v>0</v>
      </c>
      <c r="P404" s="180">
        <f t="shared" si="136"/>
        <v>0</v>
      </c>
      <c r="Q404" s="180">
        <f t="shared" si="136"/>
        <v>0</v>
      </c>
      <c r="R404" s="180">
        <f t="shared" si="136"/>
        <v>0</v>
      </c>
      <c r="S404" s="180">
        <f t="shared" si="136"/>
        <v>0</v>
      </c>
      <c r="U404" s="56">
        <f t="shared" si="137"/>
        <v>0</v>
      </c>
      <c r="W404" s="184">
        <f t="shared" si="138"/>
        <v>0.38899999999999996</v>
      </c>
      <c r="X404" s="56"/>
      <c r="Y404" s="161"/>
    </row>
    <row r="405" spans="1:25" ht="12.75">
      <c r="A405" s="198" t="s">
        <v>603</v>
      </c>
      <c r="B405" s="199"/>
      <c r="C405" s="18"/>
      <c r="D405" s="18" t="s">
        <v>604</v>
      </c>
      <c r="E405" s="139">
        <f t="shared" si="132"/>
        <v>0.38899999999999996</v>
      </c>
      <c r="F405" s="181"/>
      <c r="G405" s="180">
        <f t="shared" si="133"/>
        <v>0</v>
      </c>
      <c r="H405" s="180">
        <f t="shared" si="133"/>
        <v>0</v>
      </c>
      <c r="I405" s="180">
        <f t="shared" si="134"/>
        <v>0</v>
      </c>
      <c r="J405" s="180">
        <f t="shared" si="135"/>
        <v>0</v>
      </c>
      <c r="K405" s="180">
        <f t="shared" si="136"/>
        <v>0</v>
      </c>
      <c r="L405" s="180">
        <f t="shared" si="136"/>
        <v>0</v>
      </c>
      <c r="M405" s="180">
        <f t="shared" si="136"/>
        <v>0</v>
      </c>
      <c r="N405" s="180">
        <f t="shared" si="136"/>
        <v>0</v>
      </c>
      <c r="O405" s="180">
        <f t="shared" si="136"/>
        <v>0</v>
      </c>
      <c r="P405" s="180">
        <f t="shared" si="136"/>
        <v>0</v>
      </c>
      <c r="Q405" s="180">
        <f t="shared" si="136"/>
        <v>0</v>
      </c>
      <c r="R405" s="180">
        <f t="shared" si="136"/>
        <v>0</v>
      </c>
      <c r="S405" s="180">
        <f t="shared" si="136"/>
        <v>0</v>
      </c>
      <c r="U405" s="56">
        <f t="shared" si="137"/>
        <v>0</v>
      </c>
      <c r="W405" s="184">
        <f t="shared" si="138"/>
        <v>0.38899999999999996</v>
      </c>
      <c r="X405" s="56"/>
      <c r="Y405" s="161"/>
    </row>
    <row r="406" spans="1:25" ht="12.75">
      <c r="A406" s="198" t="s">
        <v>605</v>
      </c>
      <c r="B406" s="199"/>
      <c r="C406" s="18"/>
      <c r="D406" s="18" t="s">
        <v>153</v>
      </c>
      <c r="E406" s="139">
        <f t="shared" si="132"/>
        <v>0.38899999999999996</v>
      </c>
      <c r="F406" s="181"/>
      <c r="G406" s="180">
        <f t="shared" si="133"/>
        <v>-1962968.2989999999</v>
      </c>
      <c r="H406" s="180">
        <f t="shared" si="133"/>
        <v>-336631.26399999997</v>
      </c>
      <c r="I406" s="180">
        <f t="shared" si="134"/>
        <v>2.3283064365386963E-10</v>
      </c>
      <c r="J406" s="180">
        <f t="shared" si="135"/>
        <v>0</v>
      </c>
      <c r="K406" s="180">
        <f t="shared" si="136"/>
        <v>0</v>
      </c>
      <c r="L406" s="180">
        <f t="shared" si="136"/>
        <v>0</v>
      </c>
      <c r="M406" s="180">
        <f t="shared" si="136"/>
        <v>-2299599.5629999996</v>
      </c>
      <c r="N406" s="180">
        <f t="shared" si="136"/>
        <v>0</v>
      </c>
      <c r="O406" s="180">
        <f t="shared" si="136"/>
        <v>0</v>
      </c>
      <c r="P406" s="180">
        <f t="shared" si="136"/>
        <v>0</v>
      </c>
      <c r="Q406" s="180">
        <f t="shared" si="136"/>
        <v>0</v>
      </c>
      <c r="R406" s="180">
        <f t="shared" si="136"/>
        <v>0</v>
      </c>
      <c r="S406" s="180">
        <f t="shared" si="136"/>
        <v>-2299599.5629999996</v>
      </c>
      <c r="U406" s="56">
        <f t="shared" si="137"/>
        <v>-5911567</v>
      </c>
      <c r="W406" s="184">
        <f t="shared" si="138"/>
        <v>0.38899999999999996</v>
      </c>
      <c r="X406" s="56"/>
      <c r="Y406" s="161"/>
    </row>
    <row r="407" spans="1:25" ht="12.75">
      <c r="A407" s="198" t="s">
        <v>606</v>
      </c>
      <c r="B407" s="199"/>
      <c r="C407" s="18"/>
      <c r="D407" s="18" t="s">
        <v>155</v>
      </c>
      <c r="E407" s="139">
        <f t="shared" si="132"/>
        <v>0.38899999999999996</v>
      </c>
      <c r="F407" s="181"/>
      <c r="G407" s="180">
        <f t="shared" si="133"/>
        <v>255608.00999999998</v>
      </c>
      <c r="H407" s="180">
        <f t="shared" si="133"/>
        <v>2684.1</v>
      </c>
      <c r="I407" s="180">
        <f t="shared" si="134"/>
        <v>-2.319211489520967E-11</v>
      </c>
      <c r="J407" s="180">
        <f t="shared" si="135"/>
        <v>0</v>
      </c>
      <c r="K407" s="180">
        <f t="shared" si="136"/>
        <v>0</v>
      </c>
      <c r="L407" s="180">
        <f t="shared" si="136"/>
        <v>0</v>
      </c>
      <c r="M407" s="180">
        <f t="shared" si="136"/>
        <v>258292.10999999996</v>
      </c>
      <c r="N407" s="180">
        <f t="shared" si="136"/>
        <v>51200.957999999991</v>
      </c>
      <c r="O407" s="180">
        <f t="shared" si="136"/>
        <v>0</v>
      </c>
      <c r="P407" s="180">
        <f t="shared" si="136"/>
        <v>0</v>
      </c>
      <c r="Q407" s="180">
        <f t="shared" si="136"/>
        <v>0</v>
      </c>
      <c r="R407" s="180">
        <f t="shared" si="136"/>
        <v>0</v>
      </c>
      <c r="S407" s="180">
        <f t="shared" si="136"/>
        <v>309493.06799999997</v>
      </c>
      <c r="U407" s="56">
        <f t="shared" si="137"/>
        <v>663990</v>
      </c>
      <c r="W407" s="184">
        <f t="shared" si="138"/>
        <v>0.38899999999999996</v>
      </c>
      <c r="X407" s="56"/>
      <c r="Y407" s="161"/>
    </row>
    <row r="408" spans="1:25" ht="12.75">
      <c r="A408" s="191" t="s">
        <v>607</v>
      </c>
      <c r="B408" s="192"/>
      <c r="C408" s="193"/>
      <c r="D408" s="193" t="s">
        <v>186</v>
      </c>
      <c r="E408" s="194">
        <f t="shared" si="132"/>
        <v>0.38899999999999996</v>
      </c>
      <c r="F408" s="195" t="s">
        <v>553</v>
      </c>
      <c r="G408" s="196">
        <f t="shared" si="133"/>
        <v>-3.8900000036228441E-2</v>
      </c>
      <c r="H408" s="196">
        <f t="shared" si="133"/>
        <v>0</v>
      </c>
      <c r="I408" s="196">
        <f t="shared" si="134"/>
        <v>0</v>
      </c>
      <c r="J408" s="196">
        <f t="shared" si="135"/>
        <v>0</v>
      </c>
      <c r="K408" s="196">
        <f t="shared" si="136"/>
        <v>0</v>
      </c>
      <c r="L408" s="196">
        <f t="shared" si="136"/>
        <v>0</v>
      </c>
      <c r="M408" s="196">
        <f t="shared" si="136"/>
        <v>-3.8900000036228441E-2</v>
      </c>
      <c r="N408" s="196">
        <f t="shared" si="136"/>
        <v>0</v>
      </c>
      <c r="O408" s="196">
        <f t="shared" si="136"/>
        <v>0</v>
      </c>
      <c r="P408" s="196">
        <f t="shared" si="136"/>
        <v>0</v>
      </c>
      <c r="Q408" s="196">
        <f t="shared" si="136"/>
        <v>0</v>
      </c>
      <c r="R408" s="196">
        <f t="shared" si="136"/>
        <v>0</v>
      </c>
      <c r="S408" s="196">
        <f t="shared" si="136"/>
        <v>-3.8900000036228441E-2</v>
      </c>
      <c r="U408" s="56">
        <f t="shared" si="137"/>
        <v>-0.10000000009313224</v>
      </c>
      <c r="W408" s="197">
        <f t="shared" si="138"/>
        <v>0.38899999999999996</v>
      </c>
      <c r="X408" s="56"/>
      <c r="Y408" s="161"/>
    </row>
    <row r="409" spans="1:25" ht="12.75">
      <c r="A409" s="191" t="s">
        <v>608</v>
      </c>
      <c r="B409" s="192"/>
      <c r="C409" s="193"/>
      <c r="D409" s="193" t="s">
        <v>148</v>
      </c>
      <c r="E409" s="194">
        <f t="shared" si="132"/>
        <v>0.38899999999999996</v>
      </c>
      <c r="F409" s="195" t="s">
        <v>553</v>
      </c>
      <c r="G409" s="196">
        <f t="shared" si="133"/>
        <v>253055.94448838296</v>
      </c>
      <c r="H409" s="196">
        <f t="shared" si="133"/>
        <v>0</v>
      </c>
      <c r="I409" s="196">
        <f t="shared" si="134"/>
        <v>0</v>
      </c>
      <c r="J409" s="196">
        <f t="shared" si="135"/>
        <v>0</v>
      </c>
      <c r="K409" s="196">
        <f t="shared" si="136"/>
        <v>0</v>
      </c>
      <c r="L409" s="196">
        <f t="shared" si="136"/>
        <v>0</v>
      </c>
      <c r="M409" s="196">
        <f t="shared" si="136"/>
        <v>253055.94448838296</v>
      </c>
      <c r="N409" s="196">
        <f t="shared" si="136"/>
        <v>0</v>
      </c>
      <c r="O409" s="196">
        <f t="shared" si="136"/>
        <v>0</v>
      </c>
      <c r="P409" s="196">
        <f t="shared" si="136"/>
        <v>0</v>
      </c>
      <c r="Q409" s="196">
        <f t="shared" si="136"/>
        <v>0</v>
      </c>
      <c r="R409" s="196">
        <f t="shared" si="136"/>
        <v>0</v>
      </c>
      <c r="S409" s="196">
        <f t="shared" si="136"/>
        <v>253055.94448838296</v>
      </c>
      <c r="U409" s="56">
        <f t="shared" si="137"/>
        <v>650529.42027861951</v>
      </c>
      <c r="W409" s="197">
        <f t="shared" si="138"/>
        <v>0.38899999999999996</v>
      </c>
      <c r="X409" s="56"/>
      <c r="Y409" s="161"/>
    </row>
    <row r="410" spans="1:25" ht="12.75">
      <c r="A410" s="191" t="s">
        <v>609</v>
      </c>
      <c r="B410" s="192"/>
      <c r="C410" s="193"/>
      <c r="D410" s="193" t="s">
        <v>169</v>
      </c>
      <c r="E410" s="194">
        <f t="shared" si="132"/>
        <v>0.38899999999999996</v>
      </c>
      <c r="F410" s="195" t="s">
        <v>553</v>
      </c>
      <c r="G410" s="196">
        <f t="shared" si="133"/>
        <v>0</v>
      </c>
      <c r="H410" s="196">
        <f t="shared" si="133"/>
        <v>0</v>
      </c>
      <c r="I410" s="196">
        <f t="shared" si="134"/>
        <v>0</v>
      </c>
      <c r="J410" s="196">
        <f t="shared" si="135"/>
        <v>0</v>
      </c>
      <c r="K410" s="196">
        <f t="shared" si="136"/>
        <v>0</v>
      </c>
      <c r="L410" s="196">
        <f t="shared" si="136"/>
        <v>0</v>
      </c>
      <c r="M410" s="196">
        <f t="shared" si="136"/>
        <v>0</v>
      </c>
      <c r="N410" s="196">
        <f t="shared" si="136"/>
        <v>0</v>
      </c>
      <c r="O410" s="196">
        <f t="shared" si="136"/>
        <v>0</v>
      </c>
      <c r="P410" s="196">
        <f t="shared" si="136"/>
        <v>0</v>
      </c>
      <c r="Q410" s="196">
        <f t="shared" si="136"/>
        <v>0</v>
      </c>
      <c r="R410" s="196">
        <f t="shared" si="136"/>
        <v>0</v>
      </c>
      <c r="S410" s="196">
        <f t="shared" si="136"/>
        <v>0</v>
      </c>
      <c r="U410" s="56">
        <f t="shared" si="137"/>
        <v>0</v>
      </c>
      <c r="W410" s="197">
        <f t="shared" si="138"/>
        <v>0.38899999999999996</v>
      </c>
      <c r="X410" s="56"/>
      <c r="Y410" s="161"/>
    </row>
    <row r="411" spans="1:25" ht="12.75">
      <c r="A411" s="204" t="s">
        <v>610</v>
      </c>
      <c r="B411" s="192"/>
      <c r="C411" s="193"/>
      <c r="D411" s="193" t="s">
        <v>611</v>
      </c>
      <c r="E411" s="194">
        <f t="shared" si="132"/>
        <v>0.38899999999999996</v>
      </c>
      <c r="F411" s="195" t="s">
        <v>553</v>
      </c>
      <c r="G411" s="196">
        <f t="shared" si="133"/>
        <v>0</v>
      </c>
      <c r="H411" s="196">
        <f t="shared" si="133"/>
        <v>0</v>
      </c>
      <c r="I411" s="196">
        <f t="shared" si="134"/>
        <v>0</v>
      </c>
      <c r="J411" s="196">
        <f t="shared" si="135"/>
        <v>0</v>
      </c>
      <c r="K411" s="196">
        <f t="shared" si="136"/>
        <v>0</v>
      </c>
      <c r="L411" s="196">
        <f t="shared" si="136"/>
        <v>0</v>
      </c>
      <c r="M411" s="196">
        <f t="shared" si="136"/>
        <v>0</v>
      </c>
      <c r="N411" s="196">
        <f t="shared" si="136"/>
        <v>0</v>
      </c>
      <c r="O411" s="196">
        <f t="shared" si="136"/>
        <v>0</v>
      </c>
      <c r="P411" s="196">
        <f t="shared" si="136"/>
        <v>0</v>
      </c>
      <c r="Q411" s="196">
        <f t="shared" si="136"/>
        <v>0</v>
      </c>
      <c r="R411" s="196">
        <f t="shared" si="136"/>
        <v>0</v>
      </c>
      <c r="S411" s="196">
        <f t="shared" si="136"/>
        <v>0</v>
      </c>
      <c r="U411" s="56">
        <f t="shared" si="137"/>
        <v>0</v>
      </c>
      <c r="W411" s="197">
        <f t="shared" si="138"/>
        <v>0.38899999999999996</v>
      </c>
      <c r="X411" s="56"/>
      <c r="Y411" s="161"/>
    </row>
    <row r="412" spans="1:25" s="224" customFormat="1" ht="12.75">
      <c r="A412" s="217" t="s">
        <v>612</v>
      </c>
      <c r="B412" s="218"/>
      <c r="C412" s="219"/>
      <c r="D412" s="219" t="s">
        <v>95</v>
      </c>
      <c r="E412" s="220">
        <f t="shared" si="132"/>
        <v>0.38899999999999996</v>
      </c>
      <c r="F412" s="221" t="s">
        <v>553</v>
      </c>
      <c r="G412" s="222">
        <f t="shared" si="133"/>
        <v>342647.93212826119</v>
      </c>
      <c r="H412" s="222">
        <f t="shared" si="133"/>
        <v>0</v>
      </c>
      <c r="I412" s="222">
        <f t="shared" si="134"/>
        <v>0</v>
      </c>
      <c r="J412" s="223">
        <f t="shared" si="135"/>
        <v>-342647.92699999997</v>
      </c>
      <c r="K412" s="222">
        <f t="shared" si="136"/>
        <v>0</v>
      </c>
      <c r="L412" s="222">
        <f t="shared" si="136"/>
        <v>0</v>
      </c>
      <c r="M412" s="222">
        <f t="shared" si="136"/>
        <v>5.1282612354261797E-3</v>
      </c>
      <c r="N412" s="222">
        <f t="shared" si="136"/>
        <v>0</v>
      </c>
      <c r="O412" s="222">
        <f t="shared" si="136"/>
        <v>0</v>
      </c>
      <c r="P412" s="222">
        <f t="shared" si="136"/>
        <v>0</v>
      </c>
      <c r="Q412" s="222">
        <f t="shared" si="136"/>
        <v>0</v>
      </c>
      <c r="R412" s="222">
        <f t="shared" si="136"/>
        <v>0</v>
      </c>
      <c r="S412" s="222">
        <f t="shared" si="136"/>
        <v>5.1282612354261797E-3</v>
      </c>
      <c r="U412" s="225">
        <f t="shared" si="137"/>
        <v>1.3183190836571157E-2</v>
      </c>
      <c r="W412" s="226">
        <f t="shared" si="138"/>
        <v>0.38899999999999996</v>
      </c>
      <c r="X412" s="225"/>
      <c r="Y412" s="227"/>
    </row>
    <row r="413" spans="1:25" ht="12.75">
      <c r="A413" s="206" t="s">
        <v>613</v>
      </c>
      <c r="B413" s="207"/>
      <c r="C413" s="208"/>
      <c r="D413" s="211"/>
      <c r="E413" s="209"/>
      <c r="F413" s="210" t="s">
        <v>553</v>
      </c>
      <c r="G413" s="211">
        <f>SUMIF($F$370:$F$412,$F413,G$370:G$412)</f>
        <v>-114415748.8441087</v>
      </c>
      <c r="H413" s="211">
        <f t="shared" ref="H413:S413" si="139">SUMIF($F$370:$F$412,$F413,H$370:H$412)</f>
        <v>35772740.406999998</v>
      </c>
      <c r="I413" s="211">
        <f t="shared" si="139"/>
        <v>-1.4783836377318949E-9</v>
      </c>
      <c r="J413" s="211">
        <f t="shared" si="139"/>
        <v>-250834.75599999999</v>
      </c>
      <c r="K413" s="211">
        <f t="shared" si="139"/>
        <v>-273974.25599999999</v>
      </c>
      <c r="L413" s="211">
        <f t="shared" si="139"/>
        <v>0</v>
      </c>
      <c r="M413" s="211">
        <f t="shared" si="139"/>
        <v>-79167817.44910872</v>
      </c>
      <c r="N413" s="211">
        <f t="shared" si="139"/>
        <v>-3982695.6948389867</v>
      </c>
      <c r="O413" s="211">
        <f t="shared" si="139"/>
        <v>108051.37466999998</v>
      </c>
      <c r="P413" s="211">
        <f t="shared" si="139"/>
        <v>0</v>
      </c>
      <c r="Q413" s="211">
        <f t="shared" si="139"/>
        <v>0</v>
      </c>
      <c r="R413" s="211">
        <f t="shared" si="139"/>
        <v>-79662.531999999992</v>
      </c>
      <c r="S413" s="211">
        <f t="shared" si="139"/>
        <v>-83122124.301277697</v>
      </c>
      <c r="U413" s="56"/>
      <c r="W413" s="212"/>
      <c r="X413" s="56"/>
      <c r="Y413" s="161"/>
    </row>
    <row r="414" spans="1:25" thickBot="1">
      <c r="A414" s="167"/>
      <c r="B414" s="228"/>
      <c r="C414" s="168"/>
      <c r="D414" s="229"/>
      <c r="E414" s="230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U414" s="56"/>
      <c r="W414" s="231"/>
      <c r="X414" s="56"/>
      <c r="Y414" s="161"/>
    </row>
    <row r="415" spans="1:25" thickBot="1">
      <c r="A415" s="232" t="s">
        <v>614</v>
      </c>
      <c r="B415" s="233"/>
      <c r="C415" s="234"/>
      <c r="D415" s="235"/>
      <c r="E415" s="236"/>
      <c r="F415" s="235"/>
      <c r="G415" s="235">
        <f>G368+G413</f>
        <v>-69231243.87439537</v>
      </c>
      <c r="H415" s="235">
        <f t="shared" ref="H415:S415" si="140">H368+H413</f>
        <v>16115037.163999997</v>
      </c>
      <c r="I415" s="235">
        <f t="shared" si="140"/>
        <v>-2.8237536753294989E-9</v>
      </c>
      <c r="J415" s="235">
        <f>J368+J413</f>
        <v>-31443.638999999996</v>
      </c>
      <c r="K415" s="235">
        <f t="shared" si="140"/>
        <v>-204092.90599999999</v>
      </c>
      <c r="L415" s="235">
        <f t="shared" si="140"/>
        <v>0</v>
      </c>
      <c r="M415" s="235">
        <f>M368+M413</f>
        <v>-53351743.25539539</v>
      </c>
      <c r="N415" s="235">
        <f t="shared" si="140"/>
        <v>-5348660.5778406532</v>
      </c>
      <c r="O415" s="235">
        <f t="shared" si="140"/>
        <v>108051.37466999998</v>
      </c>
      <c r="P415" s="235">
        <f t="shared" si="140"/>
        <v>-32986.048560000003</v>
      </c>
      <c r="Q415" s="235">
        <f t="shared" si="140"/>
        <v>0</v>
      </c>
      <c r="R415" s="235">
        <f t="shared" si="140"/>
        <v>-122222.53199999999</v>
      </c>
      <c r="S415" s="235">
        <f t="shared" si="140"/>
        <v>-58751861.489126042</v>
      </c>
      <c r="U415" s="56">
        <f>SUM(U311:U414)</f>
        <v>-116001566.77365448</v>
      </c>
      <c r="W415" s="237"/>
      <c r="X415" s="56"/>
      <c r="Y415" s="161"/>
    </row>
    <row r="416" spans="1:25">
      <c r="A416" s="238"/>
      <c r="B416" s="216"/>
      <c r="C416" s="238"/>
      <c r="D416" s="239" t="s">
        <v>615</v>
      </c>
      <c r="E416" s="240"/>
      <c r="F416" s="241"/>
      <c r="G416" s="58">
        <f>G282</f>
        <v>-69231243.874395415</v>
      </c>
      <c r="H416" s="58">
        <f t="shared" ref="H416:S416" si="141">H282</f>
        <v>16115037.163999999</v>
      </c>
      <c r="I416" s="58">
        <f t="shared" si="141"/>
        <v>0</v>
      </c>
      <c r="J416" s="58">
        <f t="shared" si="141"/>
        <v>-31443.638999999959</v>
      </c>
      <c r="K416" s="58">
        <f t="shared" si="141"/>
        <v>-204092.90599999999</v>
      </c>
      <c r="L416" s="58">
        <f t="shared" si="141"/>
        <v>0</v>
      </c>
      <c r="M416" s="11">
        <f t="shared" si="141"/>
        <v>-53351743.255395398</v>
      </c>
      <c r="N416" s="58">
        <f t="shared" si="141"/>
        <v>-5348660.5778406532</v>
      </c>
      <c r="O416" s="58">
        <f t="shared" si="141"/>
        <v>108051.37466999999</v>
      </c>
      <c r="P416" s="58">
        <f t="shared" si="141"/>
        <v>-32986.048559999996</v>
      </c>
      <c r="Q416" s="58">
        <f t="shared" si="141"/>
        <v>0</v>
      </c>
      <c r="R416" s="58">
        <f t="shared" si="141"/>
        <v>-126522.98199999999</v>
      </c>
      <c r="S416" s="58">
        <f t="shared" si="141"/>
        <v>-58751861.489126042</v>
      </c>
      <c r="U416" s="56"/>
      <c r="X416" s="56"/>
      <c r="Y416" s="161"/>
    </row>
    <row r="417" spans="1:25">
      <c r="A417" s="238"/>
      <c r="B417" s="216"/>
      <c r="C417" s="238"/>
      <c r="D417" s="239" t="s">
        <v>616</v>
      </c>
      <c r="E417" s="240"/>
      <c r="F417" s="242"/>
      <c r="G417" s="11">
        <f>G416-G415</f>
        <v>0</v>
      </c>
      <c r="H417" s="11">
        <f t="shared" ref="H417:S417" si="142">H416-H415</f>
        <v>0</v>
      </c>
      <c r="I417" s="11">
        <f t="shared" si="142"/>
        <v>2.8237536753294989E-9</v>
      </c>
      <c r="J417" s="11">
        <f t="shared" si="142"/>
        <v>3.637978807091713E-11</v>
      </c>
      <c r="K417" s="11">
        <f t="shared" si="142"/>
        <v>0</v>
      </c>
      <c r="L417" s="11">
        <f t="shared" si="142"/>
        <v>0</v>
      </c>
      <c r="M417" s="11">
        <f t="shared" si="142"/>
        <v>0</v>
      </c>
      <c r="N417" s="11">
        <f t="shared" si="142"/>
        <v>0</v>
      </c>
      <c r="O417" s="11">
        <f t="shared" si="142"/>
        <v>0</v>
      </c>
      <c r="P417" s="11">
        <f t="shared" si="142"/>
        <v>0</v>
      </c>
      <c r="Q417" s="11">
        <f t="shared" si="142"/>
        <v>0</v>
      </c>
      <c r="R417" s="11">
        <f t="shared" si="142"/>
        <v>-4300.4499999999971</v>
      </c>
      <c r="S417" s="11">
        <f t="shared" si="142"/>
        <v>0</v>
      </c>
      <c r="T417" s="11"/>
      <c r="U417" s="56"/>
      <c r="X417" s="56"/>
      <c r="Y417" s="161"/>
    </row>
    <row r="418" spans="1:25">
      <c r="B418" s="238"/>
      <c r="C418" s="216"/>
      <c r="D418" s="238"/>
      <c r="E418" s="242"/>
      <c r="F418" s="240"/>
      <c r="G418" s="242"/>
      <c r="H418" s="160"/>
      <c r="I418" s="11"/>
      <c r="N418" s="214"/>
      <c r="O418" s="214"/>
      <c r="P418" s="214"/>
      <c r="R418" s="88"/>
      <c r="W418" s="58"/>
      <c r="X418" s="56"/>
      <c r="Y418" s="161"/>
    </row>
    <row r="419" spans="1:25" ht="15">
      <c r="B419" s="243"/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3"/>
    </row>
    <row r="420" spans="1:25" ht="15">
      <c r="B420" s="243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  <c r="N420" s="243"/>
      <c r="O420" s="243"/>
      <c r="P420" s="243"/>
    </row>
    <row r="421" spans="1:25" ht="15">
      <c r="B421" s="243"/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  <c r="N421" s="243"/>
      <c r="O421" s="243"/>
      <c r="P421" s="243"/>
    </row>
    <row r="422" spans="1:25" ht="15">
      <c r="B422" s="243"/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3"/>
    </row>
    <row r="423" spans="1:25" ht="15">
      <c r="B423" s="243"/>
      <c r="C423" s="243"/>
      <c r="D423" s="243"/>
      <c r="E423" s="243"/>
      <c r="F423" s="243"/>
      <c r="G423" s="243"/>
      <c r="H423" s="243"/>
      <c r="I423" s="243"/>
      <c r="J423" s="243"/>
      <c r="K423" s="243"/>
      <c r="L423" s="243"/>
      <c r="M423" s="243"/>
      <c r="N423" s="243"/>
      <c r="O423" s="243"/>
      <c r="P423" s="243"/>
    </row>
    <row r="424" spans="1:25" ht="15">
      <c r="B424" s="243"/>
      <c r="C424" s="243"/>
      <c r="D424" s="243"/>
      <c r="E424" s="243"/>
      <c r="F424" s="243"/>
      <c r="G424" s="243"/>
      <c r="H424" s="243"/>
      <c r="I424" s="243"/>
      <c r="J424" s="243"/>
      <c r="K424" s="243"/>
      <c r="L424" s="243"/>
      <c r="M424" s="243"/>
      <c r="N424" s="243"/>
      <c r="O424" s="243"/>
      <c r="P424" s="243"/>
    </row>
    <row r="425" spans="1:25" ht="15">
      <c r="B425" s="243"/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3"/>
    </row>
    <row r="426" spans="1:25" ht="15">
      <c r="B426" s="243"/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3"/>
    </row>
    <row r="427" spans="1:25" ht="15">
      <c r="B427" s="243"/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3"/>
    </row>
    <row r="428" spans="1:25" ht="15">
      <c r="B428" s="243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3"/>
    </row>
    <row r="429" spans="1:25" ht="15">
      <c r="B429" s="243"/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</row>
    <row r="430" spans="1:25" ht="15">
      <c r="B430" s="243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3"/>
    </row>
    <row r="431" spans="1:25" ht="15">
      <c r="B431" s="243"/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3"/>
    </row>
    <row r="432" spans="1:25" ht="15">
      <c r="B432" s="243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3"/>
    </row>
    <row r="433" spans="2:16" ht="15"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</row>
    <row r="434" spans="2:16" ht="15"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</row>
    <row r="435" spans="2:16" ht="1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</row>
    <row r="436" spans="2:16" ht="15"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</row>
    <row r="437" spans="2:16" ht="15"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</row>
    <row r="438" spans="2:16" ht="15"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</row>
    <row r="439" spans="2:16" ht="15"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</row>
    <row r="440" spans="2:16" ht="15"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3"/>
    </row>
    <row r="441" spans="2:16" ht="15">
      <c r="B441" s="243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O441" s="243"/>
      <c r="P441" s="243"/>
    </row>
    <row r="442" spans="2:16" ht="15"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</row>
    <row r="443" spans="2:16" ht="15">
      <c r="B443" s="243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</row>
    <row r="444" spans="2:16" ht="15"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3"/>
    </row>
    <row r="445" spans="2:16" ht="15">
      <c r="B445" s="243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3"/>
    </row>
    <row r="446" spans="2:16" ht="15"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3"/>
    </row>
    <row r="447" spans="2:16" ht="15"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</row>
    <row r="448" spans="2:16" ht="15"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3"/>
      <c r="P448" s="243"/>
    </row>
    <row r="449" spans="2:16" ht="15"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</row>
    <row r="450" spans="2:16" ht="15">
      <c r="B450" s="243"/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</row>
    <row r="451" spans="2:16" ht="15">
      <c r="B451" s="243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</row>
    <row r="452" spans="2:16" ht="15">
      <c r="B452" s="243"/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3"/>
    </row>
    <row r="453" spans="2:16" ht="15">
      <c r="B453" s="243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3"/>
    </row>
    <row r="454" spans="2:16" ht="1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3"/>
    </row>
    <row r="455" spans="2:16" ht="1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3"/>
    </row>
    <row r="456" spans="2:16" ht="1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3"/>
    </row>
    <row r="457" spans="2:16" ht="1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3"/>
    </row>
    <row r="458" spans="2:16" ht="1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</row>
    <row r="459" spans="2:16" ht="15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</row>
    <row r="460" spans="2:16" ht="15">
      <c r="B460" s="243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</row>
    <row r="461" spans="2:16" ht="15"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</row>
    <row r="462" spans="2:16" ht="15"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</row>
    <row r="463" spans="2:16" ht="15"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243"/>
      <c r="P463" s="243"/>
    </row>
    <row r="464" spans="2:16" ht="15">
      <c r="B464" s="243"/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3"/>
    </row>
    <row r="465" spans="2:16" ht="15">
      <c r="B465" s="243"/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3"/>
    </row>
    <row r="466" spans="2:16" ht="15">
      <c r="B466" s="243"/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3"/>
    </row>
    <row r="467" spans="2:16" ht="15">
      <c r="B467" s="243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3"/>
    </row>
    <row r="468" spans="2:16" ht="15">
      <c r="B468" s="243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3"/>
    </row>
    <row r="469" spans="2:16" ht="15">
      <c r="B469" s="243"/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3"/>
    </row>
    <row r="470" spans="2:16" ht="15">
      <c r="B470" s="243"/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3"/>
    </row>
    <row r="471" spans="2:16" ht="15">
      <c r="B471" s="243"/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3"/>
    </row>
    <row r="472" spans="2:16" ht="15">
      <c r="B472" s="243"/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3"/>
    </row>
    <row r="473" spans="2:16" ht="15">
      <c r="B473" s="243"/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3"/>
    </row>
    <row r="474" spans="2:16" ht="15">
      <c r="B474" s="243"/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3"/>
    </row>
    <row r="475" spans="2:16" ht="15">
      <c r="B475" s="243"/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3"/>
    </row>
    <row r="476" spans="2:16" ht="15">
      <c r="B476" s="243"/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O476" s="243"/>
      <c r="P476" s="243"/>
    </row>
    <row r="477" spans="2:16" ht="15">
      <c r="B477" s="243"/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O477" s="243"/>
      <c r="P477" s="243"/>
    </row>
    <row r="478" spans="2:16" ht="15">
      <c r="B478" s="243"/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3"/>
    </row>
    <row r="479" spans="2:16" ht="15">
      <c r="B479" s="243"/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3"/>
    </row>
    <row r="480" spans="2:16" ht="15">
      <c r="B480" s="243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3"/>
    </row>
    <row r="481" spans="2:16" ht="15">
      <c r="B481" s="243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3"/>
    </row>
    <row r="482" spans="2:16" ht="15">
      <c r="B482" s="243"/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3"/>
      <c r="O482" s="243"/>
      <c r="P482" s="243"/>
    </row>
    <row r="483" spans="2:16" ht="15">
      <c r="B483" s="243"/>
      <c r="C483" s="243"/>
      <c r="D483" s="243"/>
      <c r="E483" s="243"/>
      <c r="F483" s="243"/>
      <c r="G483" s="243"/>
      <c r="H483" s="243"/>
      <c r="I483" s="243"/>
      <c r="J483" s="243"/>
      <c r="K483" s="243"/>
      <c r="L483" s="243"/>
      <c r="M483" s="243"/>
      <c r="N483" s="243"/>
      <c r="O483" s="243"/>
      <c r="P483" s="243"/>
    </row>
    <row r="484" spans="2:16" ht="15">
      <c r="B484" s="243"/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3"/>
    </row>
    <row r="485" spans="2:16" ht="15">
      <c r="B485" s="243"/>
      <c r="C485" s="243"/>
      <c r="D485" s="243"/>
      <c r="E485" s="243"/>
      <c r="F485" s="243"/>
      <c r="G485" s="243"/>
      <c r="H485" s="243"/>
      <c r="I485" s="243"/>
      <c r="J485" s="243"/>
      <c r="K485" s="243"/>
      <c r="L485" s="243"/>
      <c r="M485" s="243"/>
      <c r="N485" s="243"/>
      <c r="O485" s="243"/>
      <c r="P485" s="243"/>
    </row>
    <row r="486" spans="2:16" ht="15">
      <c r="B486" s="243"/>
      <c r="C486" s="243"/>
      <c r="D486" s="243"/>
      <c r="E486" s="243"/>
      <c r="F486" s="243"/>
      <c r="G486" s="243"/>
      <c r="H486" s="243"/>
      <c r="I486" s="243"/>
      <c r="J486" s="243"/>
      <c r="K486" s="243"/>
      <c r="L486" s="243"/>
      <c r="M486" s="243"/>
      <c r="N486" s="243"/>
      <c r="O486" s="243"/>
      <c r="P486" s="243"/>
    </row>
    <row r="487" spans="2:16" ht="15">
      <c r="B487" s="243"/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3"/>
    </row>
    <row r="488" spans="2:16" ht="15">
      <c r="B488" s="243"/>
      <c r="C488" s="243"/>
      <c r="D488" s="243"/>
      <c r="E488" s="243"/>
      <c r="F488" s="243"/>
      <c r="G488" s="243"/>
      <c r="H488" s="243"/>
      <c r="I488" s="243"/>
      <c r="J488" s="243"/>
      <c r="K488" s="243"/>
      <c r="L488" s="243"/>
      <c r="M488" s="243"/>
      <c r="N488" s="243"/>
      <c r="O488" s="243"/>
      <c r="P488" s="243"/>
    </row>
    <row r="489" spans="2:16" ht="15">
      <c r="B489" s="243"/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3"/>
    </row>
    <row r="490" spans="2:16" ht="15">
      <c r="B490" s="243"/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O490" s="243"/>
      <c r="P490" s="243"/>
    </row>
    <row r="491" spans="2:16" ht="15">
      <c r="B491" s="243"/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3"/>
    </row>
    <row r="492" spans="2:16" ht="15">
      <c r="B492" s="243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3"/>
    </row>
    <row r="493" spans="2:16" ht="15">
      <c r="B493" s="243"/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3"/>
    </row>
    <row r="494" spans="2:16" ht="15">
      <c r="B494" s="243"/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3"/>
    </row>
    <row r="495" spans="2:16" ht="15">
      <c r="B495" s="243"/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3"/>
    </row>
    <row r="496" spans="2:16" ht="15">
      <c r="B496" s="243"/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3"/>
      <c r="O496" s="243"/>
      <c r="P496" s="243"/>
    </row>
    <row r="497" spans="2:16" ht="15">
      <c r="B497" s="243"/>
      <c r="C497" s="243"/>
      <c r="D497" s="243"/>
      <c r="E497" s="243"/>
      <c r="F497" s="243"/>
      <c r="G497" s="243"/>
      <c r="H497" s="243"/>
      <c r="I497" s="243"/>
      <c r="J497" s="243"/>
      <c r="K497" s="243"/>
      <c r="L497" s="243"/>
      <c r="M497" s="243"/>
      <c r="N497" s="243"/>
      <c r="O497" s="243"/>
      <c r="P497" s="243"/>
    </row>
    <row r="498" spans="2:16" ht="15">
      <c r="B498" s="243"/>
      <c r="C498" s="243"/>
      <c r="D498" s="243"/>
      <c r="E498" s="243"/>
      <c r="F498" s="243"/>
      <c r="G498" s="243"/>
      <c r="H498" s="243"/>
      <c r="I498" s="243"/>
      <c r="J498" s="243"/>
      <c r="K498" s="243"/>
      <c r="L498" s="243"/>
      <c r="M498" s="243"/>
      <c r="N498" s="243"/>
      <c r="O498" s="243"/>
      <c r="P498" s="243"/>
    </row>
    <row r="499" spans="2:16" ht="15">
      <c r="B499" s="243"/>
      <c r="C499" s="243"/>
      <c r="D499" s="243"/>
      <c r="E499" s="243"/>
      <c r="F499" s="243"/>
      <c r="G499" s="243"/>
      <c r="H499" s="243"/>
      <c r="I499" s="243"/>
      <c r="J499" s="243"/>
      <c r="K499" s="243"/>
      <c r="L499" s="243"/>
      <c r="M499" s="243"/>
      <c r="N499" s="243"/>
      <c r="O499" s="243"/>
      <c r="P499" s="243"/>
    </row>
    <row r="500" spans="2:16" ht="15">
      <c r="B500" s="243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3"/>
    </row>
    <row r="501" spans="2:16" ht="15">
      <c r="B501" s="243"/>
      <c r="C501" s="243"/>
      <c r="D501" s="243"/>
      <c r="E501" s="243"/>
      <c r="F501" s="243"/>
      <c r="G501" s="243"/>
      <c r="H501" s="243"/>
      <c r="I501" s="243"/>
      <c r="J501" s="243"/>
      <c r="K501" s="243"/>
      <c r="L501" s="243"/>
      <c r="M501" s="243"/>
      <c r="N501" s="243"/>
      <c r="O501" s="243"/>
      <c r="P501" s="243"/>
    </row>
    <row r="502" spans="2:16" ht="15">
      <c r="B502" s="243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</row>
    <row r="503" spans="2:16" ht="15">
      <c r="B503" s="243"/>
      <c r="C503" s="243"/>
      <c r="D503" s="243"/>
      <c r="E503" s="243"/>
      <c r="F503" s="243"/>
      <c r="G503" s="243"/>
      <c r="H503" s="243"/>
      <c r="I503" s="243"/>
      <c r="J503" s="243"/>
      <c r="K503" s="243"/>
      <c r="L503" s="243"/>
      <c r="M503" s="243"/>
      <c r="N503" s="243"/>
      <c r="O503" s="243"/>
      <c r="P503" s="243"/>
    </row>
    <row r="504" spans="2:16" ht="15">
      <c r="B504" s="243"/>
      <c r="C504" s="243"/>
      <c r="D504" s="243"/>
      <c r="E504" s="243"/>
      <c r="F504" s="243"/>
      <c r="G504" s="243"/>
      <c r="H504" s="243"/>
      <c r="I504" s="243"/>
      <c r="J504" s="243"/>
      <c r="K504" s="243"/>
      <c r="L504" s="243"/>
      <c r="M504" s="243"/>
      <c r="N504" s="243"/>
      <c r="O504" s="243"/>
      <c r="P504" s="243"/>
    </row>
    <row r="505" spans="2:16" ht="15">
      <c r="B505" s="243"/>
      <c r="C505" s="243"/>
      <c r="D505" s="243"/>
      <c r="E505" s="243"/>
      <c r="F505" s="243"/>
      <c r="G505" s="243"/>
      <c r="H505" s="243"/>
      <c r="I505" s="243"/>
      <c r="J505" s="243"/>
      <c r="K505" s="243"/>
      <c r="L505" s="243"/>
      <c r="M505" s="243"/>
      <c r="N505" s="243"/>
      <c r="O505" s="243"/>
      <c r="P505" s="243"/>
    </row>
    <row r="506" spans="2:16" ht="15">
      <c r="B506" s="243"/>
      <c r="C506" s="243"/>
      <c r="D506" s="243"/>
      <c r="E506" s="243"/>
      <c r="F506" s="243"/>
      <c r="G506" s="243"/>
      <c r="H506" s="243"/>
      <c r="I506" s="243"/>
      <c r="J506" s="243"/>
      <c r="K506" s="243"/>
      <c r="L506" s="243"/>
      <c r="M506" s="243"/>
      <c r="N506" s="243"/>
      <c r="O506" s="243"/>
      <c r="P506" s="243"/>
    </row>
    <row r="507" spans="2:16" ht="15">
      <c r="B507" s="243"/>
      <c r="C507" s="243"/>
      <c r="D507" s="243"/>
      <c r="E507" s="243"/>
      <c r="F507" s="243"/>
      <c r="G507" s="243"/>
      <c r="H507" s="243"/>
      <c r="I507" s="243"/>
      <c r="J507" s="243"/>
      <c r="K507" s="243"/>
      <c r="L507" s="243"/>
      <c r="M507" s="243"/>
      <c r="N507" s="243"/>
      <c r="O507" s="243"/>
      <c r="P507" s="243"/>
    </row>
    <row r="508" spans="2:16" ht="15">
      <c r="B508" s="243"/>
      <c r="C508" s="243"/>
      <c r="D508" s="243"/>
      <c r="E508" s="243"/>
      <c r="F508" s="243"/>
      <c r="G508" s="243"/>
      <c r="H508" s="243"/>
      <c r="I508" s="243"/>
      <c r="J508" s="243"/>
      <c r="K508" s="243"/>
      <c r="L508" s="243"/>
      <c r="M508" s="243"/>
      <c r="N508" s="243"/>
      <c r="O508" s="243"/>
      <c r="P508" s="243"/>
    </row>
    <row r="509" spans="2:16" ht="15">
      <c r="B509" s="243"/>
      <c r="C509" s="243"/>
      <c r="D509" s="243"/>
      <c r="E509" s="243"/>
      <c r="F509" s="243"/>
      <c r="G509" s="243"/>
      <c r="H509" s="243"/>
      <c r="I509" s="243"/>
      <c r="J509" s="243"/>
      <c r="K509" s="243"/>
      <c r="L509" s="243"/>
      <c r="M509" s="243"/>
      <c r="N509" s="243"/>
      <c r="O509" s="243"/>
      <c r="P509" s="243"/>
    </row>
    <row r="510" spans="2:16" ht="15">
      <c r="B510" s="243"/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3"/>
    </row>
    <row r="511" spans="2:16" ht="15">
      <c r="B511" s="243"/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243"/>
      <c r="O511" s="243"/>
      <c r="P511" s="243"/>
    </row>
    <row r="512" spans="2:16" ht="15">
      <c r="B512" s="243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3"/>
    </row>
    <row r="513" spans="2:16" ht="15">
      <c r="B513" s="243"/>
      <c r="C513" s="243"/>
      <c r="D513" s="243"/>
      <c r="E513" s="243"/>
      <c r="F513" s="243"/>
      <c r="G513" s="243"/>
      <c r="H513" s="243"/>
      <c r="I513" s="243"/>
      <c r="J513" s="243"/>
      <c r="K513" s="243"/>
      <c r="L513" s="243"/>
      <c r="M513" s="243"/>
      <c r="N513" s="243"/>
      <c r="O513" s="243"/>
      <c r="P513" s="243"/>
    </row>
    <row r="514" spans="2:16" ht="15">
      <c r="B514" s="243"/>
      <c r="C514" s="243"/>
      <c r="D514" s="243"/>
      <c r="E514" s="243"/>
      <c r="F514" s="243"/>
      <c r="G514" s="243"/>
      <c r="H514" s="243"/>
      <c r="I514" s="243"/>
      <c r="J514" s="243"/>
      <c r="K514" s="243"/>
      <c r="L514" s="243"/>
      <c r="M514" s="243"/>
      <c r="N514" s="243"/>
      <c r="O514" s="243"/>
      <c r="P514" s="243"/>
    </row>
    <row r="515" spans="2:16" ht="15">
      <c r="B515" s="243"/>
      <c r="C515" s="243"/>
      <c r="D515" s="243"/>
      <c r="E515" s="243"/>
      <c r="F515" s="243"/>
      <c r="G515" s="243"/>
      <c r="H515" s="243"/>
      <c r="I515" s="243"/>
      <c r="J515" s="243"/>
      <c r="K515" s="243"/>
      <c r="L515" s="243"/>
      <c r="M515" s="243"/>
      <c r="N515" s="243"/>
      <c r="O515" s="243"/>
      <c r="P515" s="243"/>
    </row>
    <row r="516" spans="2:16" ht="15">
      <c r="B516" s="243"/>
      <c r="C516" s="243"/>
      <c r="D516" s="243"/>
      <c r="E516" s="243"/>
      <c r="F516" s="243"/>
      <c r="G516" s="243"/>
      <c r="H516" s="243"/>
      <c r="I516" s="243"/>
      <c r="J516" s="243"/>
      <c r="K516" s="243"/>
      <c r="L516" s="243"/>
      <c r="M516" s="243"/>
      <c r="N516" s="243"/>
      <c r="O516" s="243"/>
      <c r="P516" s="243"/>
    </row>
    <row r="517" spans="2:16" ht="15">
      <c r="B517" s="243"/>
      <c r="C517" s="243"/>
      <c r="D517" s="243"/>
      <c r="E517" s="243"/>
      <c r="F517" s="243"/>
      <c r="G517" s="243"/>
      <c r="H517" s="243"/>
      <c r="I517" s="243"/>
      <c r="J517" s="243"/>
      <c r="K517" s="243"/>
      <c r="L517" s="243"/>
      <c r="M517" s="243"/>
      <c r="N517" s="243"/>
      <c r="O517" s="243"/>
      <c r="P517" s="243"/>
    </row>
    <row r="518" spans="2:16" ht="15">
      <c r="B518" s="243"/>
      <c r="C518" s="243"/>
      <c r="D518" s="243"/>
      <c r="E518" s="243"/>
      <c r="F518" s="243"/>
      <c r="G518" s="243"/>
      <c r="H518" s="243"/>
      <c r="I518" s="243"/>
      <c r="J518" s="243"/>
      <c r="K518" s="243"/>
      <c r="L518" s="243"/>
      <c r="M518" s="243"/>
      <c r="N518" s="243"/>
      <c r="O518" s="243"/>
      <c r="P518" s="243"/>
    </row>
    <row r="519" spans="2:16" ht="15">
      <c r="B519" s="243"/>
      <c r="C519" s="243"/>
      <c r="D519" s="243"/>
      <c r="E519" s="243"/>
      <c r="F519" s="243"/>
      <c r="G519" s="243"/>
      <c r="H519" s="243"/>
      <c r="I519" s="243"/>
      <c r="J519" s="243"/>
      <c r="K519" s="243"/>
      <c r="L519" s="243"/>
      <c r="M519" s="243"/>
      <c r="N519" s="243"/>
      <c r="O519" s="243"/>
      <c r="P519" s="243"/>
    </row>
    <row r="520" spans="2:16" ht="15">
      <c r="B520" s="243"/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3"/>
    </row>
    <row r="521" spans="2:16" ht="15">
      <c r="B521" s="243"/>
      <c r="C521" s="243"/>
      <c r="D521" s="243"/>
      <c r="E521" s="243"/>
      <c r="F521" s="243"/>
      <c r="G521" s="243"/>
      <c r="H521" s="243"/>
      <c r="I521" s="243"/>
      <c r="J521" s="243"/>
      <c r="K521" s="243"/>
      <c r="L521" s="243"/>
      <c r="M521" s="243"/>
      <c r="N521" s="243"/>
      <c r="O521" s="243"/>
      <c r="P521" s="243"/>
    </row>
    <row r="522" spans="2:16" ht="15">
      <c r="B522" s="243"/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3"/>
    </row>
    <row r="523" spans="2:16" ht="15">
      <c r="B523" s="243"/>
      <c r="C523" s="243"/>
      <c r="D523" s="243"/>
      <c r="E523" s="243"/>
      <c r="F523" s="243"/>
      <c r="G523" s="243"/>
      <c r="H523" s="243"/>
      <c r="I523" s="243"/>
      <c r="J523" s="243"/>
      <c r="K523" s="243"/>
      <c r="L523" s="243"/>
      <c r="M523" s="243"/>
      <c r="N523" s="243"/>
      <c r="O523" s="243"/>
      <c r="P523" s="243"/>
    </row>
    <row r="524" spans="2:16" ht="15">
      <c r="B524" s="243"/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  <c r="O524" s="243"/>
      <c r="P524" s="243"/>
    </row>
    <row r="525" spans="2:16" ht="15">
      <c r="B525" s="243"/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243"/>
      <c r="O525" s="243"/>
      <c r="P525" s="243"/>
    </row>
    <row r="526" spans="2:16" ht="15">
      <c r="B526" s="243"/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3"/>
      <c r="O526" s="243"/>
      <c r="P526" s="243"/>
    </row>
    <row r="527" spans="2:16" ht="15">
      <c r="B527" s="243"/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3"/>
    </row>
    <row r="528" spans="2:16" ht="15">
      <c r="B528" s="243"/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3"/>
    </row>
    <row r="529" spans="2:16" ht="15">
      <c r="B529" s="243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3"/>
    </row>
    <row r="530" spans="2:16" ht="15">
      <c r="B530" s="243"/>
      <c r="C530" s="243"/>
      <c r="D530" s="243"/>
      <c r="E530" s="243"/>
      <c r="F530" s="243"/>
      <c r="G530" s="243"/>
      <c r="H530" s="243"/>
      <c r="I530" s="243"/>
      <c r="J530" s="243"/>
      <c r="K530" s="243"/>
      <c r="L530" s="243"/>
      <c r="M530" s="243"/>
      <c r="N530" s="243"/>
      <c r="O530" s="243"/>
      <c r="P530" s="243"/>
    </row>
  </sheetData>
  <mergeCells count="23">
    <mergeCell ref="A266:E266"/>
    <mergeCell ref="U273:W273"/>
    <mergeCell ref="A274:E274"/>
    <mergeCell ref="U279:W279"/>
    <mergeCell ref="D306:E306"/>
    <mergeCell ref="U255:W255"/>
    <mergeCell ref="A10:E10"/>
    <mergeCell ref="A34:E34"/>
    <mergeCell ref="A177:E177"/>
    <mergeCell ref="A197:E197"/>
    <mergeCell ref="A206:E206"/>
    <mergeCell ref="U219:W219"/>
    <mergeCell ref="A220:E220"/>
    <mergeCell ref="A231:E231"/>
    <mergeCell ref="U241:W241"/>
    <mergeCell ref="A243:E243"/>
    <mergeCell ref="A248:E248"/>
    <mergeCell ref="U1:W1"/>
    <mergeCell ref="A3:B3"/>
    <mergeCell ref="A7:B7"/>
    <mergeCell ref="U7:W7"/>
    <mergeCell ref="D8:E8"/>
    <mergeCell ref="V8:W8"/>
  </mergeCells>
  <printOptions headings="1"/>
  <pageMargins left="0.7" right="0.7" top="0.75" bottom="0.75" header="0.3" footer="0.3"/>
  <pageSetup scale="33" fitToHeight="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zoomScale="60" zoomScaleNormal="100" workbookViewId="0">
      <selection activeCell="S283" sqref="S283"/>
    </sheetView>
  </sheetViews>
  <sheetFormatPr defaultRowHeight="15"/>
  <cols>
    <col min="1" max="1" width="25.140625" customWidth="1"/>
    <col min="2" max="3" width="14.42578125" bestFit="1" customWidth="1"/>
    <col min="4" max="4" width="13.7109375" bestFit="1" customWidth="1"/>
    <col min="5" max="5" width="3.140625" bestFit="1" customWidth="1"/>
    <col min="6" max="6" width="9.140625" bestFit="1" customWidth="1"/>
    <col min="7" max="7" width="3.140625" bestFit="1" customWidth="1"/>
    <col min="8" max="8" width="8.7109375" bestFit="1" customWidth="1"/>
  </cols>
  <sheetData>
    <row r="1" spans="1:8">
      <c r="A1" s="244" t="s">
        <v>742</v>
      </c>
      <c r="B1" s="245"/>
      <c r="C1" s="245"/>
      <c r="D1" s="245"/>
    </row>
    <row r="2" spans="1:8">
      <c r="A2" s="244" t="s">
        <v>743</v>
      </c>
      <c r="B2" s="245"/>
      <c r="C2" s="245"/>
      <c r="D2" s="245"/>
    </row>
    <row r="3" spans="1:8">
      <c r="A3" s="244" t="s">
        <v>744</v>
      </c>
      <c r="B3" s="245"/>
      <c r="C3" s="245"/>
      <c r="D3" s="245"/>
    </row>
    <row r="4" spans="1:8">
      <c r="A4" s="244" t="s">
        <v>745</v>
      </c>
      <c r="B4" s="245"/>
      <c r="C4" s="245"/>
      <c r="D4" s="245"/>
    </row>
    <row r="5" spans="1:8">
      <c r="A5" s="244" t="s">
        <v>746</v>
      </c>
      <c r="B5" s="245"/>
      <c r="C5" s="245"/>
      <c r="D5" s="245"/>
    </row>
    <row r="6" spans="1:8">
      <c r="A6" s="244" t="s">
        <v>747</v>
      </c>
      <c r="B6" s="245"/>
      <c r="C6" s="245"/>
      <c r="D6" s="245"/>
    </row>
    <row r="7" spans="1:8">
      <c r="A7" s="244" t="s">
        <v>748</v>
      </c>
      <c r="B7" s="245" t="s">
        <v>749</v>
      </c>
      <c r="C7" s="245" t="s">
        <v>750</v>
      </c>
      <c r="D7" s="245" t="s">
        <v>751</v>
      </c>
    </row>
    <row r="8" spans="1:8">
      <c r="A8" s="244" t="s">
        <v>752</v>
      </c>
      <c r="B8" s="245" t="s">
        <v>753</v>
      </c>
      <c r="C8" s="245" t="s">
        <v>754</v>
      </c>
      <c r="D8" s="245" t="s">
        <v>755</v>
      </c>
      <c r="E8" s="245" t="s">
        <v>756</v>
      </c>
      <c r="F8" s="246" t="s">
        <v>757</v>
      </c>
      <c r="G8" s="245" t="s">
        <v>758</v>
      </c>
      <c r="H8" s="246" t="s">
        <v>759</v>
      </c>
    </row>
    <row r="9" spans="1:8">
      <c r="A9" s="244" t="s">
        <v>760</v>
      </c>
      <c r="B9" s="245">
        <v>0</v>
      </c>
      <c r="C9" s="245">
        <v>0</v>
      </c>
      <c r="D9" s="245">
        <v>0</v>
      </c>
      <c r="E9" t="s">
        <v>102</v>
      </c>
      <c r="F9">
        <v>12</v>
      </c>
      <c r="G9" t="s">
        <v>102</v>
      </c>
      <c r="H9">
        <v>174200</v>
      </c>
    </row>
    <row r="10" spans="1:8">
      <c r="A10" s="244" t="s">
        <v>761</v>
      </c>
      <c r="B10" s="245">
        <v>0</v>
      </c>
      <c r="C10" s="245">
        <v>0</v>
      </c>
      <c r="D10" s="245">
        <v>0</v>
      </c>
      <c r="E10" t="s">
        <v>102</v>
      </c>
      <c r="F10">
        <v>12</v>
      </c>
      <c r="G10" t="s">
        <v>102</v>
      </c>
      <c r="H10">
        <v>174300</v>
      </c>
    </row>
    <row r="11" spans="1:8">
      <c r="A11" s="244" t="s">
        <v>762</v>
      </c>
      <c r="B11" s="245">
        <v>145554</v>
      </c>
      <c r="C11" s="245">
        <v>102994</v>
      </c>
      <c r="D11" s="245">
        <v>-42560</v>
      </c>
      <c r="E11" t="s">
        <v>102</v>
      </c>
      <c r="F11">
        <v>12</v>
      </c>
      <c r="G11" t="s">
        <v>102</v>
      </c>
      <c r="H11">
        <v>236310</v>
      </c>
    </row>
    <row r="12" spans="1:8">
      <c r="A12" s="244" t="s">
        <v>763</v>
      </c>
      <c r="B12" s="245">
        <v>26545</v>
      </c>
      <c r="C12" s="245">
        <v>26545</v>
      </c>
      <c r="D12" s="245">
        <v>0</v>
      </c>
      <c r="E12" t="s">
        <v>102</v>
      </c>
      <c r="F12">
        <v>12</v>
      </c>
      <c r="G12" t="s">
        <v>102</v>
      </c>
      <c r="H12">
        <v>236320</v>
      </c>
    </row>
    <row r="13" spans="1:8">
      <c r="A13" s="244" t="s">
        <v>764</v>
      </c>
      <c r="B13" s="245">
        <v>-62736545</v>
      </c>
      <c r="C13" s="245">
        <v>-50934706</v>
      </c>
      <c r="D13" s="245">
        <v>11801839</v>
      </c>
      <c r="E13" t="s">
        <v>102</v>
      </c>
      <c r="F13">
        <v>12</v>
      </c>
      <c r="G13" t="s">
        <v>102</v>
      </c>
      <c r="H13">
        <v>253301</v>
      </c>
    </row>
    <row r="14" spans="1:8">
      <c r="A14" s="244" t="s">
        <v>765</v>
      </c>
      <c r="B14" s="245">
        <v>-6611236</v>
      </c>
      <c r="C14" s="245">
        <v>-7946704</v>
      </c>
      <c r="D14" s="245">
        <v>-1335468</v>
      </c>
      <c r="E14" t="s">
        <v>102</v>
      </c>
      <c r="F14">
        <v>12</v>
      </c>
      <c r="G14" t="s">
        <v>102</v>
      </c>
      <c r="H14">
        <v>253701</v>
      </c>
    </row>
    <row r="16" spans="1:8" ht="15.75" thickBot="1">
      <c r="B16" s="247">
        <f>SUM(B9:B15)</f>
        <v>-69175682</v>
      </c>
      <c r="C16" s="273">
        <f>SUM(C9:C15)</f>
        <v>-58751871</v>
      </c>
      <c r="D16" s="247">
        <f>SUM(D9:D15)</f>
        <v>10423811</v>
      </c>
    </row>
    <row r="17" ht="15.75" thickTop="1"/>
  </sheetData>
  <printOptions headings="1"/>
  <pageMargins left="0.7" right="0.7" top="0.75" bottom="0.75" header="0.3" footer="0.3"/>
  <pageSetup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B481"/>
  <sheetViews>
    <sheetView tabSelected="1" zoomScaleNormal="100" workbookViewId="0">
      <pane xSplit="3" ySplit="8" topLeftCell="P265" activePane="bottomRight" state="frozen"/>
      <selection activeCell="S283" sqref="S283"/>
      <selection pane="topRight" activeCell="S283" sqref="S283"/>
      <selection pane="bottomLeft" activeCell="S283" sqref="S283"/>
      <selection pane="bottomRight" activeCell="S283" sqref="S283"/>
    </sheetView>
  </sheetViews>
  <sheetFormatPr defaultColWidth="8.85546875" defaultRowHeight="13.5"/>
  <cols>
    <col min="1" max="1" width="11" style="10" customWidth="1"/>
    <col min="2" max="2" width="50.7109375" style="10" bestFit="1" customWidth="1"/>
    <col min="3" max="5" width="11.28515625" style="54" customWidth="1"/>
    <col min="6" max="6" width="15.28515625" style="160" customWidth="1"/>
    <col min="7" max="19" width="15.7109375" style="10" customWidth="1"/>
    <col min="20" max="20" width="4.7109375" style="10" customWidth="1"/>
    <col min="21" max="22" width="12.7109375" style="10" customWidth="1"/>
    <col min="23" max="23" width="13.7109375" style="10" customWidth="1"/>
    <col min="24" max="24" width="2.28515625" style="10" bestFit="1" customWidth="1"/>
    <col min="25" max="25" width="18.7109375" style="10" customWidth="1"/>
    <col min="26" max="26" width="6.85546875" style="10" bestFit="1" customWidth="1"/>
    <col min="27" max="256" width="8.85546875" style="10"/>
    <col min="257" max="257" width="11" style="10" customWidth="1"/>
    <col min="258" max="258" width="50.7109375" style="10" bestFit="1" customWidth="1"/>
    <col min="259" max="261" width="11.28515625" style="10" customWidth="1"/>
    <col min="262" max="262" width="15.28515625" style="10" customWidth="1"/>
    <col min="263" max="275" width="15.7109375" style="10" customWidth="1"/>
    <col min="276" max="276" width="4.7109375" style="10" customWidth="1"/>
    <col min="277" max="278" width="12.7109375" style="10" customWidth="1"/>
    <col min="279" max="279" width="13.7109375" style="10" customWidth="1"/>
    <col min="280" max="280" width="2.28515625" style="10" bestFit="1" customWidth="1"/>
    <col min="281" max="281" width="18.7109375" style="10" customWidth="1"/>
    <col min="282" max="282" width="6.85546875" style="10" bestFit="1" customWidth="1"/>
    <col min="283" max="512" width="8.85546875" style="10"/>
    <col min="513" max="513" width="11" style="10" customWidth="1"/>
    <col min="514" max="514" width="50.7109375" style="10" bestFit="1" customWidth="1"/>
    <col min="515" max="517" width="11.28515625" style="10" customWidth="1"/>
    <col min="518" max="518" width="15.28515625" style="10" customWidth="1"/>
    <col min="519" max="531" width="15.7109375" style="10" customWidth="1"/>
    <col min="532" max="532" width="4.7109375" style="10" customWidth="1"/>
    <col min="533" max="534" width="12.7109375" style="10" customWidth="1"/>
    <col min="535" max="535" width="13.7109375" style="10" customWidth="1"/>
    <col min="536" max="536" width="2.28515625" style="10" bestFit="1" customWidth="1"/>
    <col min="537" max="537" width="18.7109375" style="10" customWidth="1"/>
    <col min="538" max="538" width="6.85546875" style="10" bestFit="1" customWidth="1"/>
    <col min="539" max="768" width="8.85546875" style="10"/>
    <col min="769" max="769" width="11" style="10" customWidth="1"/>
    <col min="770" max="770" width="50.7109375" style="10" bestFit="1" customWidth="1"/>
    <col min="771" max="773" width="11.28515625" style="10" customWidth="1"/>
    <col min="774" max="774" width="15.28515625" style="10" customWidth="1"/>
    <col min="775" max="787" width="15.7109375" style="10" customWidth="1"/>
    <col min="788" max="788" width="4.7109375" style="10" customWidth="1"/>
    <col min="789" max="790" width="12.7109375" style="10" customWidth="1"/>
    <col min="791" max="791" width="13.7109375" style="10" customWidth="1"/>
    <col min="792" max="792" width="2.28515625" style="10" bestFit="1" customWidth="1"/>
    <col min="793" max="793" width="18.7109375" style="10" customWidth="1"/>
    <col min="794" max="794" width="6.85546875" style="10" bestFit="1" customWidth="1"/>
    <col min="795" max="1024" width="8.85546875" style="10"/>
    <col min="1025" max="1025" width="11" style="10" customWidth="1"/>
    <col min="1026" max="1026" width="50.7109375" style="10" bestFit="1" customWidth="1"/>
    <col min="1027" max="1029" width="11.28515625" style="10" customWidth="1"/>
    <col min="1030" max="1030" width="15.28515625" style="10" customWidth="1"/>
    <col min="1031" max="1043" width="15.7109375" style="10" customWidth="1"/>
    <col min="1044" max="1044" width="4.7109375" style="10" customWidth="1"/>
    <col min="1045" max="1046" width="12.7109375" style="10" customWidth="1"/>
    <col min="1047" max="1047" width="13.7109375" style="10" customWidth="1"/>
    <col min="1048" max="1048" width="2.28515625" style="10" bestFit="1" customWidth="1"/>
    <col min="1049" max="1049" width="18.7109375" style="10" customWidth="1"/>
    <col min="1050" max="1050" width="6.85546875" style="10" bestFit="1" customWidth="1"/>
    <col min="1051" max="1280" width="8.85546875" style="10"/>
    <col min="1281" max="1281" width="11" style="10" customWidth="1"/>
    <col min="1282" max="1282" width="50.7109375" style="10" bestFit="1" customWidth="1"/>
    <col min="1283" max="1285" width="11.28515625" style="10" customWidth="1"/>
    <col min="1286" max="1286" width="15.28515625" style="10" customWidth="1"/>
    <col min="1287" max="1299" width="15.7109375" style="10" customWidth="1"/>
    <col min="1300" max="1300" width="4.7109375" style="10" customWidth="1"/>
    <col min="1301" max="1302" width="12.7109375" style="10" customWidth="1"/>
    <col min="1303" max="1303" width="13.7109375" style="10" customWidth="1"/>
    <col min="1304" max="1304" width="2.28515625" style="10" bestFit="1" customWidth="1"/>
    <col min="1305" max="1305" width="18.7109375" style="10" customWidth="1"/>
    <col min="1306" max="1306" width="6.85546875" style="10" bestFit="1" customWidth="1"/>
    <col min="1307" max="1536" width="8.85546875" style="10"/>
    <col min="1537" max="1537" width="11" style="10" customWidth="1"/>
    <col min="1538" max="1538" width="50.7109375" style="10" bestFit="1" customWidth="1"/>
    <col min="1539" max="1541" width="11.28515625" style="10" customWidth="1"/>
    <col min="1542" max="1542" width="15.28515625" style="10" customWidth="1"/>
    <col min="1543" max="1555" width="15.7109375" style="10" customWidth="1"/>
    <col min="1556" max="1556" width="4.7109375" style="10" customWidth="1"/>
    <col min="1557" max="1558" width="12.7109375" style="10" customWidth="1"/>
    <col min="1559" max="1559" width="13.7109375" style="10" customWidth="1"/>
    <col min="1560" max="1560" width="2.28515625" style="10" bestFit="1" customWidth="1"/>
    <col min="1561" max="1561" width="18.7109375" style="10" customWidth="1"/>
    <col min="1562" max="1562" width="6.85546875" style="10" bestFit="1" customWidth="1"/>
    <col min="1563" max="1792" width="8.85546875" style="10"/>
    <col min="1793" max="1793" width="11" style="10" customWidth="1"/>
    <col min="1794" max="1794" width="50.7109375" style="10" bestFit="1" customWidth="1"/>
    <col min="1795" max="1797" width="11.28515625" style="10" customWidth="1"/>
    <col min="1798" max="1798" width="15.28515625" style="10" customWidth="1"/>
    <col min="1799" max="1811" width="15.7109375" style="10" customWidth="1"/>
    <col min="1812" max="1812" width="4.7109375" style="10" customWidth="1"/>
    <col min="1813" max="1814" width="12.7109375" style="10" customWidth="1"/>
    <col min="1815" max="1815" width="13.7109375" style="10" customWidth="1"/>
    <col min="1816" max="1816" width="2.28515625" style="10" bestFit="1" customWidth="1"/>
    <col min="1817" max="1817" width="18.7109375" style="10" customWidth="1"/>
    <col min="1818" max="1818" width="6.85546875" style="10" bestFit="1" customWidth="1"/>
    <col min="1819" max="2048" width="8.85546875" style="10"/>
    <col min="2049" max="2049" width="11" style="10" customWidth="1"/>
    <col min="2050" max="2050" width="50.7109375" style="10" bestFit="1" customWidth="1"/>
    <col min="2051" max="2053" width="11.28515625" style="10" customWidth="1"/>
    <col min="2054" max="2054" width="15.28515625" style="10" customWidth="1"/>
    <col min="2055" max="2067" width="15.7109375" style="10" customWidth="1"/>
    <col min="2068" max="2068" width="4.7109375" style="10" customWidth="1"/>
    <col min="2069" max="2070" width="12.7109375" style="10" customWidth="1"/>
    <col min="2071" max="2071" width="13.7109375" style="10" customWidth="1"/>
    <col min="2072" max="2072" width="2.28515625" style="10" bestFit="1" customWidth="1"/>
    <col min="2073" max="2073" width="18.7109375" style="10" customWidth="1"/>
    <col min="2074" max="2074" width="6.85546875" style="10" bestFit="1" customWidth="1"/>
    <col min="2075" max="2304" width="8.85546875" style="10"/>
    <col min="2305" max="2305" width="11" style="10" customWidth="1"/>
    <col min="2306" max="2306" width="50.7109375" style="10" bestFit="1" customWidth="1"/>
    <col min="2307" max="2309" width="11.28515625" style="10" customWidth="1"/>
    <col min="2310" max="2310" width="15.28515625" style="10" customWidth="1"/>
    <col min="2311" max="2323" width="15.7109375" style="10" customWidth="1"/>
    <col min="2324" max="2324" width="4.7109375" style="10" customWidth="1"/>
    <col min="2325" max="2326" width="12.7109375" style="10" customWidth="1"/>
    <col min="2327" max="2327" width="13.7109375" style="10" customWidth="1"/>
    <col min="2328" max="2328" width="2.28515625" style="10" bestFit="1" customWidth="1"/>
    <col min="2329" max="2329" width="18.7109375" style="10" customWidth="1"/>
    <col min="2330" max="2330" width="6.85546875" style="10" bestFit="1" customWidth="1"/>
    <col min="2331" max="2560" width="8.85546875" style="10"/>
    <col min="2561" max="2561" width="11" style="10" customWidth="1"/>
    <col min="2562" max="2562" width="50.7109375" style="10" bestFit="1" customWidth="1"/>
    <col min="2563" max="2565" width="11.28515625" style="10" customWidth="1"/>
    <col min="2566" max="2566" width="15.28515625" style="10" customWidth="1"/>
    <col min="2567" max="2579" width="15.7109375" style="10" customWidth="1"/>
    <col min="2580" max="2580" width="4.7109375" style="10" customWidth="1"/>
    <col min="2581" max="2582" width="12.7109375" style="10" customWidth="1"/>
    <col min="2583" max="2583" width="13.7109375" style="10" customWidth="1"/>
    <col min="2584" max="2584" width="2.28515625" style="10" bestFit="1" customWidth="1"/>
    <col min="2585" max="2585" width="18.7109375" style="10" customWidth="1"/>
    <col min="2586" max="2586" width="6.85546875" style="10" bestFit="1" customWidth="1"/>
    <col min="2587" max="2816" width="8.85546875" style="10"/>
    <col min="2817" max="2817" width="11" style="10" customWidth="1"/>
    <col min="2818" max="2818" width="50.7109375" style="10" bestFit="1" customWidth="1"/>
    <col min="2819" max="2821" width="11.28515625" style="10" customWidth="1"/>
    <col min="2822" max="2822" width="15.28515625" style="10" customWidth="1"/>
    <col min="2823" max="2835" width="15.7109375" style="10" customWidth="1"/>
    <col min="2836" max="2836" width="4.7109375" style="10" customWidth="1"/>
    <col min="2837" max="2838" width="12.7109375" style="10" customWidth="1"/>
    <col min="2839" max="2839" width="13.7109375" style="10" customWidth="1"/>
    <col min="2840" max="2840" width="2.28515625" style="10" bestFit="1" customWidth="1"/>
    <col min="2841" max="2841" width="18.7109375" style="10" customWidth="1"/>
    <col min="2842" max="2842" width="6.85546875" style="10" bestFit="1" customWidth="1"/>
    <col min="2843" max="3072" width="8.85546875" style="10"/>
    <col min="3073" max="3073" width="11" style="10" customWidth="1"/>
    <col min="3074" max="3074" width="50.7109375" style="10" bestFit="1" customWidth="1"/>
    <col min="3075" max="3077" width="11.28515625" style="10" customWidth="1"/>
    <col min="3078" max="3078" width="15.28515625" style="10" customWidth="1"/>
    <col min="3079" max="3091" width="15.7109375" style="10" customWidth="1"/>
    <col min="3092" max="3092" width="4.7109375" style="10" customWidth="1"/>
    <col min="3093" max="3094" width="12.7109375" style="10" customWidth="1"/>
    <col min="3095" max="3095" width="13.7109375" style="10" customWidth="1"/>
    <col min="3096" max="3096" width="2.28515625" style="10" bestFit="1" customWidth="1"/>
    <col min="3097" max="3097" width="18.7109375" style="10" customWidth="1"/>
    <col min="3098" max="3098" width="6.85546875" style="10" bestFit="1" customWidth="1"/>
    <col min="3099" max="3328" width="8.85546875" style="10"/>
    <col min="3329" max="3329" width="11" style="10" customWidth="1"/>
    <col min="3330" max="3330" width="50.7109375" style="10" bestFit="1" customWidth="1"/>
    <col min="3331" max="3333" width="11.28515625" style="10" customWidth="1"/>
    <col min="3334" max="3334" width="15.28515625" style="10" customWidth="1"/>
    <col min="3335" max="3347" width="15.7109375" style="10" customWidth="1"/>
    <col min="3348" max="3348" width="4.7109375" style="10" customWidth="1"/>
    <col min="3349" max="3350" width="12.7109375" style="10" customWidth="1"/>
    <col min="3351" max="3351" width="13.7109375" style="10" customWidth="1"/>
    <col min="3352" max="3352" width="2.28515625" style="10" bestFit="1" customWidth="1"/>
    <col min="3353" max="3353" width="18.7109375" style="10" customWidth="1"/>
    <col min="3354" max="3354" width="6.85546875" style="10" bestFit="1" customWidth="1"/>
    <col min="3355" max="3584" width="8.85546875" style="10"/>
    <col min="3585" max="3585" width="11" style="10" customWidth="1"/>
    <col min="3586" max="3586" width="50.7109375" style="10" bestFit="1" customWidth="1"/>
    <col min="3587" max="3589" width="11.28515625" style="10" customWidth="1"/>
    <col min="3590" max="3590" width="15.28515625" style="10" customWidth="1"/>
    <col min="3591" max="3603" width="15.7109375" style="10" customWidth="1"/>
    <col min="3604" max="3604" width="4.7109375" style="10" customWidth="1"/>
    <col min="3605" max="3606" width="12.7109375" style="10" customWidth="1"/>
    <col min="3607" max="3607" width="13.7109375" style="10" customWidth="1"/>
    <col min="3608" max="3608" width="2.28515625" style="10" bestFit="1" customWidth="1"/>
    <col min="3609" max="3609" width="18.7109375" style="10" customWidth="1"/>
    <col min="3610" max="3610" width="6.85546875" style="10" bestFit="1" customWidth="1"/>
    <col min="3611" max="3840" width="8.85546875" style="10"/>
    <col min="3841" max="3841" width="11" style="10" customWidth="1"/>
    <col min="3842" max="3842" width="50.7109375" style="10" bestFit="1" customWidth="1"/>
    <col min="3843" max="3845" width="11.28515625" style="10" customWidth="1"/>
    <col min="3846" max="3846" width="15.28515625" style="10" customWidth="1"/>
    <col min="3847" max="3859" width="15.7109375" style="10" customWidth="1"/>
    <col min="3860" max="3860" width="4.7109375" style="10" customWidth="1"/>
    <col min="3861" max="3862" width="12.7109375" style="10" customWidth="1"/>
    <col min="3863" max="3863" width="13.7109375" style="10" customWidth="1"/>
    <col min="3864" max="3864" width="2.28515625" style="10" bestFit="1" customWidth="1"/>
    <col min="3865" max="3865" width="18.7109375" style="10" customWidth="1"/>
    <col min="3866" max="3866" width="6.85546875" style="10" bestFit="1" customWidth="1"/>
    <col min="3867" max="4096" width="8.85546875" style="10"/>
    <col min="4097" max="4097" width="11" style="10" customWidth="1"/>
    <col min="4098" max="4098" width="50.7109375" style="10" bestFit="1" customWidth="1"/>
    <col min="4099" max="4101" width="11.28515625" style="10" customWidth="1"/>
    <col min="4102" max="4102" width="15.28515625" style="10" customWidth="1"/>
    <col min="4103" max="4115" width="15.7109375" style="10" customWidth="1"/>
    <col min="4116" max="4116" width="4.7109375" style="10" customWidth="1"/>
    <col min="4117" max="4118" width="12.7109375" style="10" customWidth="1"/>
    <col min="4119" max="4119" width="13.7109375" style="10" customWidth="1"/>
    <col min="4120" max="4120" width="2.28515625" style="10" bestFit="1" customWidth="1"/>
    <col min="4121" max="4121" width="18.7109375" style="10" customWidth="1"/>
    <col min="4122" max="4122" width="6.85546875" style="10" bestFit="1" customWidth="1"/>
    <col min="4123" max="4352" width="8.85546875" style="10"/>
    <col min="4353" max="4353" width="11" style="10" customWidth="1"/>
    <col min="4354" max="4354" width="50.7109375" style="10" bestFit="1" customWidth="1"/>
    <col min="4355" max="4357" width="11.28515625" style="10" customWidth="1"/>
    <col min="4358" max="4358" width="15.28515625" style="10" customWidth="1"/>
    <col min="4359" max="4371" width="15.7109375" style="10" customWidth="1"/>
    <col min="4372" max="4372" width="4.7109375" style="10" customWidth="1"/>
    <col min="4373" max="4374" width="12.7109375" style="10" customWidth="1"/>
    <col min="4375" max="4375" width="13.7109375" style="10" customWidth="1"/>
    <col min="4376" max="4376" width="2.28515625" style="10" bestFit="1" customWidth="1"/>
    <col min="4377" max="4377" width="18.7109375" style="10" customWidth="1"/>
    <col min="4378" max="4378" width="6.85546875" style="10" bestFit="1" customWidth="1"/>
    <col min="4379" max="4608" width="8.85546875" style="10"/>
    <col min="4609" max="4609" width="11" style="10" customWidth="1"/>
    <col min="4610" max="4610" width="50.7109375" style="10" bestFit="1" customWidth="1"/>
    <col min="4611" max="4613" width="11.28515625" style="10" customWidth="1"/>
    <col min="4614" max="4614" width="15.28515625" style="10" customWidth="1"/>
    <col min="4615" max="4627" width="15.7109375" style="10" customWidth="1"/>
    <col min="4628" max="4628" width="4.7109375" style="10" customWidth="1"/>
    <col min="4629" max="4630" width="12.7109375" style="10" customWidth="1"/>
    <col min="4631" max="4631" width="13.7109375" style="10" customWidth="1"/>
    <col min="4632" max="4632" width="2.28515625" style="10" bestFit="1" customWidth="1"/>
    <col min="4633" max="4633" width="18.7109375" style="10" customWidth="1"/>
    <col min="4634" max="4634" width="6.85546875" style="10" bestFit="1" customWidth="1"/>
    <col min="4635" max="4864" width="8.85546875" style="10"/>
    <col min="4865" max="4865" width="11" style="10" customWidth="1"/>
    <col min="4866" max="4866" width="50.7109375" style="10" bestFit="1" customWidth="1"/>
    <col min="4867" max="4869" width="11.28515625" style="10" customWidth="1"/>
    <col min="4870" max="4870" width="15.28515625" style="10" customWidth="1"/>
    <col min="4871" max="4883" width="15.7109375" style="10" customWidth="1"/>
    <col min="4884" max="4884" width="4.7109375" style="10" customWidth="1"/>
    <col min="4885" max="4886" width="12.7109375" style="10" customWidth="1"/>
    <col min="4887" max="4887" width="13.7109375" style="10" customWidth="1"/>
    <col min="4888" max="4888" width="2.28515625" style="10" bestFit="1" customWidth="1"/>
    <col min="4889" max="4889" width="18.7109375" style="10" customWidth="1"/>
    <col min="4890" max="4890" width="6.85546875" style="10" bestFit="1" customWidth="1"/>
    <col min="4891" max="5120" width="8.85546875" style="10"/>
    <col min="5121" max="5121" width="11" style="10" customWidth="1"/>
    <col min="5122" max="5122" width="50.7109375" style="10" bestFit="1" customWidth="1"/>
    <col min="5123" max="5125" width="11.28515625" style="10" customWidth="1"/>
    <col min="5126" max="5126" width="15.28515625" style="10" customWidth="1"/>
    <col min="5127" max="5139" width="15.7109375" style="10" customWidth="1"/>
    <col min="5140" max="5140" width="4.7109375" style="10" customWidth="1"/>
    <col min="5141" max="5142" width="12.7109375" style="10" customWidth="1"/>
    <col min="5143" max="5143" width="13.7109375" style="10" customWidth="1"/>
    <col min="5144" max="5144" width="2.28515625" style="10" bestFit="1" customWidth="1"/>
    <col min="5145" max="5145" width="18.7109375" style="10" customWidth="1"/>
    <col min="5146" max="5146" width="6.85546875" style="10" bestFit="1" customWidth="1"/>
    <col min="5147" max="5376" width="8.85546875" style="10"/>
    <col min="5377" max="5377" width="11" style="10" customWidth="1"/>
    <col min="5378" max="5378" width="50.7109375" style="10" bestFit="1" customWidth="1"/>
    <col min="5379" max="5381" width="11.28515625" style="10" customWidth="1"/>
    <col min="5382" max="5382" width="15.28515625" style="10" customWidth="1"/>
    <col min="5383" max="5395" width="15.7109375" style="10" customWidth="1"/>
    <col min="5396" max="5396" width="4.7109375" style="10" customWidth="1"/>
    <col min="5397" max="5398" width="12.7109375" style="10" customWidth="1"/>
    <col min="5399" max="5399" width="13.7109375" style="10" customWidth="1"/>
    <col min="5400" max="5400" width="2.28515625" style="10" bestFit="1" customWidth="1"/>
    <col min="5401" max="5401" width="18.7109375" style="10" customWidth="1"/>
    <col min="5402" max="5402" width="6.85546875" style="10" bestFit="1" customWidth="1"/>
    <col min="5403" max="5632" width="8.85546875" style="10"/>
    <col min="5633" max="5633" width="11" style="10" customWidth="1"/>
    <col min="5634" max="5634" width="50.7109375" style="10" bestFit="1" customWidth="1"/>
    <col min="5635" max="5637" width="11.28515625" style="10" customWidth="1"/>
    <col min="5638" max="5638" width="15.28515625" style="10" customWidth="1"/>
    <col min="5639" max="5651" width="15.7109375" style="10" customWidth="1"/>
    <col min="5652" max="5652" width="4.7109375" style="10" customWidth="1"/>
    <col min="5653" max="5654" width="12.7109375" style="10" customWidth="1"/>
    <col min="5655" max="5655" width="13.7109375" style="10" customWidth="1"/>
    <col min="5656" max="5656" width="2.28515625" style="10" bestFit="1" customWidth="1"/>
    <col min="5657" max="5657" width="18.7109375" style="10" customWidth="1"/>
    <col min="5658" max="5658" width="6.85546875" style="10" bestFit="1" customWidth="1"/>
    <col min="5659" max="5888" width="8.85546875" style="10"/>
    <col min="5889" max="5889" width="11" style="10" customWidth="1"/>
    <col min="5890" max="5890" width="50.7109375" style="10" bestFit="1" customWidth="1"/>
    <col min="5891" max="5893" width="11.28515625" style="10" customWidth="1"/>
    <col min="5894" max="5894" width="15.28515625" style="10" customWidth="1"/>
    <col min="5895" max="5907" width="15.7109375" style="10" customWidth="1"/>
    <col min="5908" max="5908" width="4.7109375" style="10" customWidth="1"/>
    <col min="5909" max="5910" width="12.7109375" style="10" customWidth="1"/>
    <col min="5911" max="5911" width="13.7109375" style="10" customWidth="1"/>
    <col min="5912" max="5912" width="2.28515625" style="10" bestFit="1" customWidth="1"/>
    <col min="5913" max="5913" width="18.7109375" style="10" customWidth="1"/>
    <col min="5914" max="5914" width="6.85546875" style="10" bestFit="1" customWidth="1"/>
    <col min="5915" max="6144" width="8.85546875" style="10"/>
    <col min="6145" max="6145" width="11" style="10" customWidth="1"/>
    <col min="6146" max="6146" width="50.7109375" style="10" bestFit="1" customWidth="1"/>
    <col min="6147" max="6149" width="11.28515625" style="10" customWidth="1"/>
    <col min="6150" max="6150" width="15.28515625" style="10" customWidth="1"/>
    <col min="6151" max="6163" width="15.7109375" style="10" customWidth="1"/>
    <col min="6164" max="6164" width="4.7109375" style="10" customWidth="1"/>
    <col min="6165" max="6166" width="12.7109375" style="10" customWidth="1"/>
    <col min="6167" max="6167" width="13.7109375" style="10" customWidth="1"/>
    <col min="6168" max="6168" width="2.28515625" style="10" bestFit="1" customWidth="1"/>
    <col min="6169" max="6169" width="18.7109375" style="10" customWidth="1"/>
    <col min="6170" max="6170" width="6.85546875" style="10" bestFit="1" customWidth="1"/>
    <col min="6171" max="6400" width="8.85546875" style="10"/>
    <col min="6401" max="6401" width="11" style="10" customWidth="1"/>
    <col min="6402" max="6402" width="50.7109375" style="10" bestFit="1" customWidth="1"/>
    <col min="6403" max="6405" width="11.28515625" style="10" customWidth="1"/>
    <col min="6406" max="6406" width="15.28515625" style="10" customWidth="1"/>
    <col min="6407" max="6419" width="15.7109375" style="10" customWidth="1"/>
    <col min="6420" max="6420" width="4.7109375" style="10" customWidth="1"/>
    <col min="6421" max="6422" width="12.7109375" style="10" customWidth="1"/>
    <col min="6423" max="6423" width="13.7109375" style="10" customWidth="1"/>
    <col min="6424" max="6424" width="2.28515625" style="10" bestFit="1" customWidth="1"/>
    <col min="6425" max="6425" width="18.7109375" style="10" customWidth="1"/>
    <col min="6426" max="6426" width="6.85546875" style="10" bestFit="1" customWidth="1"/>
    <col min="6427" max="6656" width="8.85546875" style="10"/>
    <col min="6657" max="6657" width="11" style="10" customWidth="1"/>
    <col min="6658" max="6658" width="50.7109375" style="10" bestFit="1" customWidth="1"/>
    <col min="6659" max="6661" width="11.28515625" style="10" customWidth="1"/>
    <col min="6662" max="6662" width="15.28515625" style="10" customWidth="1"/>
    <col min="6663" max="6675" width="15.7109375" style="10" customWidth="1"/>
    <col min="6676" max="6676" width="4.7109375" style="10" customWidth="1"/>
    <col min="6677" max="6678" width="12.7109375" style="10" customWidth="1"/>
    <col min="6679" max="6679" width="13.7109375" style="10" customWidth="1"/>
    <col min="6680" max="6680" width="2.28515625" style="10" bestFit="1" customWidth="1"/>
    <col min="6681" max="6681" width="18.7109375" style="10" customWidth="1"/>
    <col min="6682" max="6682" width="6.85546875" style="10" bestFit="1" customWidth="1"/>
    <col min="6683" max="6912" width="8.85546875" style="10"/>
    <col min="6913" max="6913" width="11" style="10" customWidth="1"/>
    <col min="6914" max="6914" width="50.7109375" style="10" bestFit="1" customWidth="1"/>
    <col min="6915" max="6917" width="11.28515625" style="10" customWidth="1"/>
    <col min="6918" max="6918" width="15.28515625" style="10" customWidth="1"/>
    <col min="6919" max="6931" width="15.7109375" style="10" customWidth="1"/>
    <col min="6932" max="6932" width="4.7109375" style="10" customWidth="1"/>
    <col min="6933" max="6934" width="12.7109375" style="10" customWidth="1"/>
    <col min="6935" max="6935" width="13.7109375" style="10" customWidth="1"/>
    <col min="6936" max="6936" width="2.28515625" style="10" bestFit="1" customWidth="1"/>
    <col min="6937" max="6937" width="18.7109375" style="10" customWidth="1"/>
    <col min="6938" max="6938" width="6.85546875" style="10" bestFit="1" customWidth="1"/>
    <col min="6939" max="7168" width="8.85546875" style="10"/>
    <col min="7169" max="7169" width="11" style="10" customWidth="1"/>
    <col min="7170" max="7170" width="50.7109375" style="10" bestFit="1" customWidth="1"/>
    <col min="7171" max="7173" width="11.28515625" style="10" customWidth="1"/>
    <col min="7174" max="7174" width="15.28515625" style="10" customWidth="1"/>
    <col min="7175" max="7187" width="15.7109375" style="10" customWidth="1"/>
    <col min="7188" max="7188" width="4.7109375" style="10" customWidth="1"/>
    <col min="7189" max="7190" width="12.7109375" style="10" customWidth="1"/>
    <col min="7191" max="7191" width="13.7109375" style="10" customWidth="1"/>
    <col min="7192" max="7192" width="2.28515625" style="10" bestFit="1" customWidth="1"/>
    <col min="7193" max="7193" width="18.7109375" style="10" customWidth="1"/>
    <col min="7194" max="7194" width="6.85546875" style="10" bestFit="1" customWidth="1"/>
    <col min="7195" max="7424" width="8.85546875" style="10"/>
    <col min="7425" max="7425" width="11" style="10" customWidth="1"/>
    <col min="7426" max="7426" width="50.7109375" style="10" bestFit="1" customWidth="1"/>
    <col min="7427" max="7429" width="11.28515625" style="10" customWidth="1"/>
    <col min="7430" max="7430" width="15.28515625" style="10" customWidth="1"/>
    <col min="7431" max="7443" width="15.7109375" style="10" customWidth="1"/>
    <col min="7444" max="7444" width="4.7109375" style="10" customWidth="1"/>
    <col min="7445" max="7446" width="12.7109375" style="10" customWidth="1"/>
    <col min="7447" max="7447" width="13.7109375" style="10" customWidth="1"/>
    <col min="7448" max="7448" width="2.28515625" style="10" bestFit="1" customWidth="1"/>
    <col min="7449" max="7449" width="18.7109375" style="10" customWidth="1"/>
    <col min="7450" max="7450" width="6.85546875" style="10" bestFit="1" customWidth="1"/>
    <col min="7451" max="7680" width="8.85546875" style="10"/>
    <col min="7681" max="7681" width="11" style="10" customWidth="1"/>
    <col min="7682" max="7682" width="50.7109375" style="10" bestFit="1" customWidth="1"/>
    <col min="7683" max="7685" width="11.28515625" style="10" customWidth="1"/>
    <col min="7686" max="7686" width="15.28515625" style="10" customWidth="1"/>
    <col min="7687" max="7699" width="15.7109375" style="10" customWidth="1"/>
    <col min="7700" max="7700" width="4.7109375" style="10" customWidth="1"/>
    <col min="7701" max="7702" width="12.7109375" style="10" customWidth="1"/>
    <col min="7703" max="7703" width="13.7109375" style="10" customWidth="1"/>
    <col min="7704" max="7704" width="2.28515625" style="10" bestFit="1" customWidth="1"/>
    <col min="7705" max="7705" width="18.7109375" style="10" customWidth="1"/>
    <col min="7706" max="7706" width="6.85546875" style="10" bestFit="1" customWidth="1"/>
    <col min="7707" max="7936" width="8.85546875" style="10"/>
    <col min="7937" max="7937" width="11" style="10" customWidth="1"/>
    <col min="7938" max="7938" width="50.7109375" style="10" bestFit="1" customWidth="1"/>
    <col min="7939" max="7941" width="11.28515625" style="10" customWidth="1"/>
    <col min="7942" max="7942" width="15.28515625" style="10" customWidth="1"/>
    <col min="7943" max="7955" width="15.7109375" style="10" customWidth="1"/>
    <col min="7956" max="7956" width="4.7109375" style="10" customWidth="1"/>
    <col min="7957" max="7958" width="12.7109375" style="10" customWidth="1"/>
    <col min="7959" max="7959" width="13.7109375" style="10" customWidth="1"/>
    <col min="7960" max="7960" width="2.28515625" style="10" bestFit="1" customWidth="1"/>
    <col min="7961" max="7961" width="18.7109375" style="10" customWidth="1"/>
    <col min="7962" max="7962" width="6.85546875" style="10" bestFit="1" customWidth="1"/>
    <col min="7963" max="8192" width="8.85546875" style="10"/>
    <col min="8193" max="8193" width="11" style="10" customWidth="1"/>
    <col min="8194" max="8194" width="50.7109375" style="10" bestFit="1" customWidth="1"/>
    <col min="8195" max="8197" width="11.28515625" style="10" customWidth="1"/>
    <col min="8198" max="8198" width="15.28515625" style="10" customWidth="1"/>
    <col min="8199" max="8211" width="15.7109375" style="10" customWidth="1"/>
    <col min="8212" max="8212" width="4.7109375" style="10" customWidth="1"/>
    <col min="8213" max="8214" width="12.7109375" style="10" customWidth="1"/>
    <col min="8215" max="8215" width="13.7109375" style="10" customWidth="1"/>
    <col min="8216" max="8216" width="2.28515625" style="10" bestFit="1" customWidth="1"/>
    <col min="8217" max="8217" width="18.7109375" style="10" customWidth="1"/>
    <col min="8218" max="8218" width="6.85546875" style="10" bestFit="1" customWidth="1"/>
    <col min="8219" max="8448" width="8.85546875" style="10"/>
    <col min="8449" max="8449" width="11" style="10" customWidth="1"/>
    <col min="8450" max="8450" width="50.7109375" style="10" bestFit="1" customWidth="1"/>
    <col min="8451" max="8453" width="11.28515625" style="10" customWidth="1"/>
    <col min="8454" max="8454" width="15.28515625" style="10" customWidth="1"/>
    <col min="8455" max="8467" width="15.7109375" style="10" customWidth="1"/>
    <col min="8468" max="8468" width="4.7109375" style="10" customWidth="1"/>
    <col min="8469" max="8470" width="12.7109375" style="10" customWidth="1"/>
    <col min="8471" max="8471" width="13.7109375" style="10" customWidth="1"/>
    <col min="8472" max="8472" width="2.28515625" style="10" bestFit="1" customWidth="1"/>
    <col min="8473" max="8473" width="18.7109375" style="10" customWidth="1"/>
    <col min="8474" max="8474" width="6.85546875" style="10" bestFit="1" customWidth="1"/>
    <col min="8475" max="8704" width="8.85546875" style="10"/>
    <col min="8705" max="8705" width="11" style="10" customWidth="1"/>
    <col min="8706" max="8706" width="50.7109375" style="10" bestFit="1" customWidth="1"/>
    <col min="8707" max="8709" width="11.28515625" style="10" customWidth="1"/>
    <col min="8710" max="8710" width="15.28515625" style="10" customWidth="1"/>
    <col min="8711" max="8723" width="15.7109375" style="10" customWidth="1"/>
    <col min="8724" max="8724" width="4.7109375" style="10" customWidth="1"/>
    <col min="8725" max="8726" width="12.7109375" style="10" customWidth="1"/>
    <col min="8727" max="8727" width="13.7109375" style="10" customWidth="1"/>
    <col min="8728" max="8728" width="2.28515625" style="10" bestFit="1" customWidth="1"/>
    <col min="8729" max="8729" width="18.7109375" style="10" customWidth="1"/>
    <col min="8730" max="8730" width="6.85546875" style="10" bestFit="1" customWidth="1"/>
    <col min="8731" max="8960" width="8.85546875" style="10"/>
    <col min="8961" max="8961" width="11" style="10" customWidth="1"/>
    <col min="8962" max="8962" width="50.7109375" style="10" bestFit="1" customWidth="1"/>
    <col min="8963" max="8965" width="11.28515625" style="10" customWidth="1"/>
    <col min="8966" max="8966" width="15.28515625" style="10" customWidth="1"/>
    <col min="8967" max="8979" width="15.7109375" style="10" customWidth="1"/>
    <col min="8980" max="8980" width="4.7109375" style="10" customWidth="1"/>
    <col min="8981" max="8982" width="12.7109375" style="10" customWidth="1"/>
    <col min="8983" max="8983" width="13.7109375" style="10" customWidth="1"/>
    <col min="8984" max="8984" width="2.28515625" style="10" bestFit="1" customWidth="1"/>
    <col min="8985" max="8985" width="18.7109375" style="10" customWidth="1"/>
    <col min="8986" max="8986" width="6.85546875" style="10" bestFit="1" customWidth="1"/>
    <col min="8987" max="9216" width="8.85546875" style="10"/>
    <col min="9217" max="9217" width="11" style="10" customWidth="1"/>
    <col min="9218" max="9218" width="50.7109375" style="10" bestFit="1" customWidth="1"/>
    <col min="9219" max="9221" width="11.28515625" style="10" customWidth="1"/>
    <col min="9222" max="9222" width="15.28515625" style="10" customWidth="1"/>
    <col min="9223" max="9235" width="15.7109375" style="10" customWidth="1"/>
    <col min="9236" max="9236" width="4.7109375" style="10" customWidth="1"/>
    <col min="9237" max="9238" width="12.7109375" style="10" customWidth="1"/>
    <col min="9239" max="9239" width="13.7109375" style="10" customWidth="1"/>
    <col min="9240" max="9240" width="2.28515625" style="10" bestFit="1" customWidth="1"/>
    <col min="9241" max="9241" width="18.7109375" style="10" customWidth="1"/>
    <col min="9242" max="9242" width="6.85546875" style="10" bestFit="1" customWidth="1"/>
    <col min="9243" max="9472" width="8.85546875" style="10"/>
    <col min="9473" max="9473" width="11" style="10" customWidth="1"/>
    <col min="9474" max="9474" width="50.7109375" style="10" bestFit="1" customWidth="1"/>
    <col min="9475" max="9477" width="11.28515625" style="10" customWidth="1"/>
    <col min="9478" max="9478" width="15.28515625" style="10" customWidth="1"/>
    <col min="9479" max="9491" width="15.7109375" style="10" customWidth="1"/>
    <col min="9492" max="9492" width="4.7109375" style="10" customWidth="1"/>
    <col min="9493" max="9494" width="12.7109375" style="10" customWidth="1"/>
    <col min="9495" max="9495" width="13.7109375" style="10" customWidth="1"/>
    <col min="9496" max="9496" width="2.28515625" style="10" bestFit="1" customWidth="1"/>
    <col min="9497" max="9497" width="18.7109375" style="10" customWidth="1"/>
    <col min="9498" max="9498" width="6.85546875" style="10" bestFit="1" customWidth="1"/>
    <col min="9499" max="9728" width="8.85546875" style="10"/>
    <col min="9729" max="9729" width="11" style="10" customWidth="1"/>
    <col min="9730" max="9730" width="50.7109375" style="10" bestFit="1" customWidth="1"/>
    <col min="9731" max="9733" width="11.28515625" style="10" customWidth="1"/>
    <col min="9734" max="9734" width="15.28515625" style="10" customWidth="1"/>
    <col min="9735" max="9747" width="15.7109375" style="10" customWidth="1"/>
    <col min="9748" max="9748" width="4.7109375" style="10" customWidth="1"/>
    <col min="9749" max="9750" width="12.7109375" style="10" customWidth="1"/>
    <col min="9751" max="9751" width="13.7109375" style="10" customWidth="1"/>
    <col min="9752" max="9752" width="2.28515625" style="10" bestFit="1" customWidth="1"/>
    <col min="9753" max="9753" width="18.7109375" style="10" customWidth="1"/>
    <col min="9754" max="9754" width="6.85546875" style="10" bestFit="1" customWidth="1"/>
    <col min="9755" max="9984" width="8.85546875" style="10"/>
    <col min="9985" max="9985" width="11" style="10" customWidth="1"/>
    <col min="9986" max="9986" width="50.7109375" style="10" bestFit="1" customWidth="1"/>
    <col min="9987" max="9989" width="11.28515625" style="10" customWidth="1"/>
    <col min="9990" max="9990" width="15.28515625" style="10" customWidth="1"/>
    <col min="9991" max="10003" width="15.7109375" style="10" customWidth="1"/>
    <col min="10004" max="10004" width="4.7109375" style="10" customWidth="1"/>
    <col min="10005" max="10006" width="12.7109375" style="10" customWidth="1"/>
    <col min="10007" max="10007" width="13.7109375" style="10" customWidth="1"/>
    <col min="10008" max="10008" width="2.28515625" style="10" bestFit="1" customWidth="1"/>
    <col min="10009" max="10009" width="18.7109375" style="10" customWidth="1"/>
    <col min="10010" max="10010" width="6.85546875" style="10" bestFit="1" customWidth="1"/>
    <col min="10011" max="10240" width="8.85546875" style="10"/>
    <col min="10241" max="10241" width="11" style="10" customWidth="1"/>
    <col min="10242" max="10242" width="50.7109375" style="10" bestFit="1" customWidth="1"/>
    <col min="10243" max="10245" width="11.28515625" style="10" customWidth="1"/>
    <col min="10246" max="10246" width="15.28515625" style="10" customWidth="1"/>
    <col min="10247" max="10259" width="15.7109375" style="10" customWidth="1"/>
    <col min="10260" max="10260" width="4.7109375" style="10" customWidth="1"/>
    <col min="10261" max="10262" width="12.7109375" style="10" customWidth="1"/>
    <col min="10263" max="10263" width="13.7109375" style="10" customWidth="1"/>
    <col min="10264" max="10264" width="2.28515625" style="10" bestFit="1" customWidth="1"/>
    <col min="10265" max="10265" width="18.7109375" style="10" customWidth="1"/>
    <col min="10266" max="10266" width="6.85546875" style="10" bestFit="1" customWidth="1"/>
    <col min="10267" max="10496" width="8.85546875" style="10"/>
    <col min="10497" max="10497" width="11" style="10" customWidth="1"/>
    <col min="10498" max="10498" width="50.7109375" style="10" bestFit="1" customWidth="1"/>
    <col min="10499" max="10501" width="11.28515625" style="10" customWidth="1"/>
    <col min="10502" max="10502" width="15.28515625" style="10" customWidth="1"/>
    <col min="10503" max="10515" width="15.7109375" style="10" customWidth="1"/>
    <col min="10516" max="10516" width="4.7109375" style="10" customWidth="1"/>
    <col min="10517" max="10518" width="12.7109375" style="10" customWidth="1"/>
    <col min="10519" max="10519" width="13.7109375" style="10" customWidth="1"/>
    <col min="10520" max="10520" width="2.28515625" style="10" bestFit="1" customWidth="1"/>
    <col min="10521" max="10521" width="18.7109375" style="10" customWidth="1"/>
    <col min="10522" max="10522" width="6.85546875" style="10" bestFit="1" customWidth="1"/>
    <col min="10523" max="10752" width="8.85546875" style="10"/>
    <col min="10753" max="10753" width="11" style="10" customWidth="1"/>
    <col min="10754" max="10754" width="50.7109375" style="10" bestFit="1" customWidth="1"/>
    <col min="10755" max="10757" width="11.28515625" style="10" customWidth="1"/>
    <col min="10758" max="10758" width="15.28515625" style="10" customWidth="1"/>
    <col min="10759" max="10771" width="15.7109375" style="10" customWidth="1"/>
    <col min="10772" max="10772" width="4.7109375" style="10" customWidth="1"/>
    <col min="10773" max="10774" width="12.7109375" style="10" customWidth="1"/>
    <col min="10775" max="10775" width="13.7109375" style="10" customWidth="1"/>
    <col min="10776" max="10776" width="2.28515625" style="10" bestFit="1" customWidth="1"/>
    <col min="10777" max="10777" width="18.7109375" style="10" customWidth="1"/>
    <col min="10778" max="10778" width="6.85546875" style="10" bestFit="1" customWidth="1"/>
    <col min="10779" max="11008" width="8.85546875" style="10"/>
    <col min="11009" max="11009" width="11" style="10" customWidth="1"/>
    <col min="11010" max="11010" width="50.7109375" style="10" bestFit="1" customWidth="1"/>
    <col min="11011" max="11013" width="11.28515625" style="10" customWidth="1"/>
    <col min="11014" max="11014" width="15.28515625" style="10" customWidth="1"/>
    <col min="11015" max="11027" width="15.7109375" style="10" customWidth="1"/>
    <col min="11028" max="11028" width="4.7109375" style="10" customWidth="1"/>
    <col min="11029" max="11030" width="12.7109375" style="10" customWidth="1"/>
    <col min="11031" max="11031" width="13.7109375" style="10" customWidth="1"/>
    <col min="11032" max="11032" width="2.28515625" style="10" bestFit="1" customWidth="1"/>
    <col min="11033" max="11033" width="18.7109375" style="10" customWidth="1"/>
    <col min="11034" max="11034" width="6.85546875" style="10" bestFit="1" customWidth="1"/>
    <col min="11035" max="11264" width="8.85546875" style="10"/>
    <col min="11265" max="11265" width="11" style="10" customWidth="1"/>
    <col min="11266" max="11266" width="50.7109375" style="10" bestFit="1" customWidth="1"/>
    <col min="11267" max="11269" width="11.28515625" style="10" customWidth="1"/>
    <col min="11270" max="11270" width="15.28515625" style="10" customWidth="1"/>
    <col min="11271" max="11283" width="15.7109375" style="10" customWidth="1"/>
    <col min="11284" max="11284" width="4.7109375" style="10" customWidth="1"/>
    <col min="11285" max="11286" width="12.7109375" style="10" customWidth="1"/>
    <col min="11287" max="11287" width="13.7109375" style="10" customWidth="1"/>
    <col min="11288" max="11288" width="2.28515625" style="10" bestFit="1" customWidth="1"/>
    <col min="11289" max="11289" width="18.7109375" style="10" customWidth="1"/>
    <col min="11290" max="11290" width="6.85546875" style="10" bestFit="1" customWidth="1"/>
    <col min="11291" max="11520" width="8.85546875" style="10"/>
    <col min="11521" max="11521" width="11" style="10" customWidth="1"/>
    <col min="11522" max="11522" width="50.7109375" style="10" bestFit="1" customWidth="1"/>
    <col min="11523" max="11525" width="11.28515625" style="10" customWidth="1"/>
    <col min="11526" max="11526" width="15.28515625" style="10" customWidth="1"/>
    <col min="11527" max="11539" width="15.7109375" style="10" customWidth="1"/>
    <col min="11540" max="11540" width="4.7109375" style="10" customWidth="1"/>
    <col min="11541" max="11542" width="12.7109375" style="10" customWidth="1"/>
    <col min="11543" max="11543" width="13.7109375" style="10" customWidth="1"/>
    <col min="11544" max="11544" width="2.28515625" style="10" bestFit="1" customWidth="1"/>
    <col min="11545" max="11545" width="18.7109375" style="10" customWidth="1"/>
    <col min="11546" max="11546" width="6.85546875" style="10" bestFit="1" customWidth="1"/>
    <col min="11547" max="11776" width="8.85546875" style="10"/>
    <col min="11777" max="11777" width="11" style="10" customWidth="1"/>
    <col min="11778" max="11778" width="50.7109375" style="10" bestFit="1" customWidth="1"/>
    <col min="11779" max="11781" width="11.28515625" style="10" customWidth="1"/>
    <col min="11782" max="11782" width="15.28515625" style="10" customWidth="1"/>
    <col min="11783" max="11795" width="15.7109375" style="10" customWidth="1"/>
    <col min="11796" max="11796" width="4.7109375" style="10" customWidth="1"/>
    <col min="11797" max="11798" width="12.7109375" style="10" customWidth="1"/>
    <col min="11799" max="11799" width="13.7109375" style="10" customWidth="1"/>
    <col min="11800" max="11800" width="2.28515625" style="10" bestFit="1" customWidth="1"/>
    <col min="11801" max="11801" width="18.7109375" style="10" customWidth="1"/>
    <col min="11802" max="11802" width="6.85546875" style="10" bestFit="1" customWidth="1"/>
    <col min="11803" max="12032" width="8.85546875" style="10"/>
    <col min="12033" max="12033" width="11" style="10" customWidth="1"/>
    <col min="12034" max="12034" width="50.7109375" style="10" bestFit="1" customWidth="1"/>
    <col min="12035" max="12037" width="11.28515625" style="10" customWidth="1"/>
    <col min="12038" max="12038" width="15.28515625" style="10" customWidth="1"/>
    <col min="12039" max="12051" width="15.7109375" style="10" customWidth="1"/>
    <col min="12052" max="12052" width="4.7109375" style="10" customWidth="1"/>
    <col min="12053" max="12054" width="12.7109375" style="10" customWidth="1"/>
    <col min="12055" max="12055" width="13.7109375" style="10" customWidth="1"/>
    <col min="12056" max="12056" width="2.28515625" style="10" bestFit="1" customWidth="1"/>
    <col min="12057" max="12057" width="18.7109375" style="10" customWidth="1"/>
    <col min="12058" max="12058" width="6.85546875" style="10" bestFit="1" customWidth="1"/>
    <col min="12059" max="12288" width="8.85546875" style="10"/>
    <col min="12289" max="12289" width="11" style="10" customWidth="1"/>
    <col min="12290" max="12290" width="50.7109375" style="10" bestFit="1" customWidth="1"/>
    <col min="12291" max="12293" width="11.28515625" style="10" customWidth="1"/>
    <col min="12294" max="12294" width="15.28515625" style="10" customWidth="1"/>
    <col min="12295" max="12307" width="15.7109375" style="10" customWidth="1"/>
    <col min="12308" max="12308" width="4.7109375" style="10" customWidth="1"/>
    <col min="12309" max="12310" width="12.7109375" style="10" customWidth="1"/>
    <col min="12311" max="12311" width="13.7109375" style="10" customWidth="1"/>
    <col min="12312" max="12312" width="2.28515625" style="10" bestFit="1" customWidth="1"/>
    <col min="12313" max="12313" width="18.7109375" style="10" customWidth="1"/>
    <col min="12314" max="12314" width="6.85546875" style="10" bestFit="1" customWidth="1"/>
    <col min="12315" max="12544" width="8.85546875" style="10"/>
    <col min="12545" max="12545" width="11" style="10" customWidth="1"/>
    <col min="12546" max="12546" width="50.7109375" style="10" bestFit="1" customWidth="1"/>
    <col min="12547" max="12549" width="11.28515625" style="10" customWidth="1"/>
    <col min="12550" max="12550" width="15.28515625" style="10" customWidth="1"/>
    <col min="12551" max="12563" width="15.7109375" style="10" customWidth="1"/>
    <col min="12564" max="12564" width="4.7109375" style="10" customWidth="1"/>
    <col min="12565" max="12566" width="12.7109375" style="10" customWidth="1"/>
    <col min="12567" max="12567" width="13.7109375" style="10" customWidth="1"/>
    <col min="12568" max="12568" width="2.28515625" style="10" bestFit="1" customWidth="1"/>
    <col min="12569" max="12569" width="18.7109375" style="10" customWidth="1"/>
    <col min="12570" max="12570" width="6.85546875" style="10" bestFit="1" customWidth="1"/>
    <col min="12571" max="12800" width="8.85546875" style="10"/>
    <col min="12801" max="12801" width="11" style="10" customWidth="1"/>
    <col min="12802" max="12802" width="50.7109375" style="10" bestFit="1" customWidth="1"/>
    <col min="12803" max="12805" width="11.28515625" style="10" customWidth="1"/>
    <col min="12806" max="12806" width="15.28515625" style="10" customWidth="1"/>
    <col min="12807" max="12819" width="15.7109375" style="10" customWidth="1"/>
    <col min="12820" max="12820" width="4.7109375" style="10" customWidth="1"/>
    <col min="12821" max="12822" width="12.7109375" style="10" customWidth="1"/>
    <col min="12823" max="12823" width="13.7109375" style="10" customWidth="1"/>
    <col min="12824" max="12824" width="2.28515625" style="10" bestFit="1" customWidth="1"/>
    <col min="12825" max="12825" width="18.7109375" style="10" customWidth="1"/>
    <col min="12826" max="12826" width="6.85546875" style="10" bestFit="1" customWidth="1"/>
    <col min="12827" max="13056" width="8.85546875" style="10"/>
    <col min="13057" max="13057" width="11" style="10" customWidth="1"/>
    <col min="13058" max="13058" width="50.7109375" style="10" bestFit="1" customWidth="1"/>
    <col min="13059" max="13061" width="11.28515625" style="10" customWidth="1"/>
    <col min="13062" max="13062" width="15.28515625" style="10" customWidth="1"/>
    <col min="13063" max="13075" width="15.7109375" style="10" customWidth="1"/>
    <col min="13076" max="13076" width="4.7109375" style="10" customWidth="1"/>
    <col min="13077" max="13078" width="12.7109375" style="10" customWidth="1"/>
    <col min="13079" max="13079" width="13.7109375" style="10" customWidth="1"/>
    <col min="13080" max="13080" width="2.28515625" style="10" bestFit="1" customWidth="1"/>
    <col min="13081" max="13081" width="18.7109375" style="10" customWidth="1"/>
    <col min="13082" max="13082" width="6.85546875" style="10" bestFit="1" customWidth="1"/>
    <col min="13083" max="13312" width="8.85546875" style="10"/>
    <col min="13313" max="13313" width="11" style="10" customWidth="1"/>
    <col min="13314" max="13314" width="50.7109375" style="10" bestFit="1" customWidth="1"/>
    <col min="13315" max="13317" width="11.28515625" style="10" customWidth="1"/>
    <col min="13318" max="13318" width="15.28515625" style="10" customWidth="1"/>
    <col min="13319" max="13331" width="15.7109375" style="10" customWidth="1"/>
    <col min="13332" max="13332" width="4.7109375" style="10" customWidth="1"/>
    <col min="13333" max="13334" width="12.7109375" style="10" customWidth="1"/>
    <col min="13335" max="13335" width="13.7109375" style="10" customWidth="1"/>
    <col min="13336" max="13336" width="2.28515625" style="10" bestFit="1" customWidth="1"/>
    <col min="13337" max="13337" width="18.7109375" style="10" customWidth="1"/>
    <col min="13338" max="13338" width="6.85546875" style="10" bestFit="1" customWidth="1"/>
    <col min="13339" max="13568" width="8.85546875" style="10"/>
    <col min="13569" max="13569" width="11" style="10" customWidth="1"/>
    <col min="13570" max="13570" width="50.7109375" style="10" bestFit="1" customWidth="1"/>
    <col min="13571" max="13573" width="11.28515625" style="10" customWidth="1"/>
    <col min="13574" max="13574" width="15.28515625" style="10" customWidth="1"/>
    <col min="13575" max="13587" width="15.7109375" style="10" customWidth="1"/>
    <col min="13588" max="13588" width="4.7109375" style="10" customWidth="1"/>
    <col min="13589" max="13590" width="12.7109375" style="10" customWidth="1"/>
    <col min="13591" max="13591" width="13.7109375" style="10" customWidth="1"/>
    <col min="13592" max="13592" width="2.28515625" style="10" bestFit="1" customWidth="1"/>
    <col min="13593" max="13593" width="18.7109375" style="10" customWidth="1"/>
    <col min="13594" max="13594" width="6.85546875" style="10" bestFit="1" customWidth="1"/>
    <col min="13595" max="13824" width="8.85546875" style="10"/>
    <col min="13825" max="13825" width="11" style="10" customWidth="1"/>
    <col min="13826" max="13826" width="50.7109375" style="10" bestFit="1" customWidth="1"/>
    <col min="13827" max="13829" width="11.28515625" style="10" customWidth="1"/>
    <col min="13830" max="13830" width="15.28515625" style="10" customWidth="1"/>
    <col min="13831" max="13843" width="15.7109375" style="10" customWidth="1"/>
    <col min="13844" max="13844" width="4.7109375" style="10" customWidth="1"/>
    <col min="13845" max="13846" width="12.7109375" style="10" customWidth="1"/>
    <col min="13847" max="13847" width="13.7109375" style="10" customWidth="1"/>
    <col min="13848" max="13848" width="2.28515625" style="10" bestFit="1" customWidth="1"/>
    <col min="13849" max="13849" width="18.7109375" style="10" customWidth="1"/>
    <col min="13850" max="13850" width="6.85546875" style="10" bestFit="1" customWidth="1"/>
    <col min="13851" max="14080" width="8.85546875" style="10"/>
    <col min="14081" max="14081" width="11" style="10" customWidth="1"/>
    <col min="14082" max="14082" width="50.7109375" style="10" bestFit="1" customWidth="1"/>
    <col min="14083" max="14085" width="11.28515625" style="10" customWidth="1"/>
    <col min="14086" max="14086" width="15.28515625" style="10" customWidth="1"/>
    <col min="14087" max="14099" width="15.7109375" style="10" customWidth="1"/>
    <col min="14100" max="14100" width="4.7109375" style="10" customWidth="1"/>
    <col min="14101" max="14102" width="12.7109375" style="10" customWidth="1"/>
    <col min="14103" max="14103" width="13.7109375" style="10" customWidth="1"/>
    <col min="14104" max="14104" width="2.28515625" style="10" bestFit="1" customWidth="1"/>
    <col min="14105" max="14105" width="18.7109375" style="10" customWidth="1"/>
    <col min="14106" max="14106" width="6.85546875" style="10" bestFit="1" customWidth="1"/>
    <col min="14107" max="14336" width="8.85546875" style="10"/>
    <col min="14337" max="14337" width="11" style="10" customWidth="1"/>
    <col min="14338" max="14338" width="50.7109375" style="10" bestFit="1" customWidth="1"/>
    <col min="14339" max="14341" width="11.28515625" style="10" customWidth="1"/>
    <col min="14342" max="14342" width="15.28515625" style="10" customWidth="1"/>
    <col min="14343" max="14355" width="15.7109375" style="10" customWidth="1"/>
    <col min="14356" max="14356" width="4.7109375" style="10" customWidth="1"/>
    <col min="14357" max="14358" width="12.7109375" style="10" customWidth="1"/>
    <col min="14359" max="14359" width="13.7109375" style="10" customWidth="1"/>
    <col min="14360" max="14360" width="2.28515625" style="10" bestFit="1" customWidth="1"/>
    <col min="14361" max="14361" width="18.7109375" style="10" customWidth="1"/>
    <col min="14362" max="14362" width="6.85546875" style="10" bestFit="1" customWidth="1"/>
    <col min="14363" max="14592" width="8.85546875" style="10"/>
    <col min="14593" max="14593" width="11" style="10" customWidth="1"/>
    <col min="14594" max="14594" width="50.7109375" style="10" bestFit="1" customWidth="1"/>
    <col min="14595" max="14597" width="11.28515625" style="10" customWidth="1"/>
    <col min="14598" max="14598" width="15.28515625" style="10" customWidth="1"/>
    <col min="14599" max="14611" width="15.7109375" style="10" customWidth="1"/>
    <col min="14612" max="14612" width="4.7109375" style="10" customWidth="1"/>
    <col min="14613" max="14614" width="12.7109375" style="10" customWidth="1"/>
    <col min="14615" max="14615" width="13.7109375" style="10" customWidth="1"/>
    <col min="14616" max="14616" width="2.28515625" style="10" bestFit="1" customWidth="1"/>
    <col min="14617" max="14617" width="18.7109375" style="10" customWidth="1"/>
    <col min="14618" max="14618" width="6.85546875" style="10" bestFit="1" customWidth="1"/>
    <col min="14619" max="14848" width="8.85546875" style="10"/>
    <col min="14849" max="14849" width="11" style="10" customWidth="1"/>
    <col min="14850" max="14850" width="50.7109375" style="10" bestFit="1" customWidth="1"/>
    <col min="14851" max="14853" width="11.28515625" style="10" customWidth="1"/>
    <col min="14854" max="14854" width="15.28515625" style="10" customWidth="1"/>
    <col min="14855" max="14867" width="15.7109375" style="10" customWidth="1"/>
    <col min="14868" max="14868" width="4.7109375" style="10" customWidth="1"/>
    <col min="14869" max="14870" width="12.7109375" style="10" customWidth="1"/>
    <col min="14871" max="14871" width="13.7109375" style="10" customWidth="1"/>
    <col min="14872" max="14872" width="2.28515625" style="10" bestFit="1" customWidth="1"/>
    <col min="14873" max="14873" width="18.7109375" style="10" customWidth="1"/>
    <col min="14874" max="14874" width="6.85546875" style="10" bestFit="1" customWidth="1"/>
    <col min="14875" max="15104" width="8.85546875" style="10"/>
    <col min="15105" max="15105" width="11" style="10" customWidth="1"/>
    <col min="15106" max="15106" width="50.7109375" style="10" bestFit="1" customWidth="1"/>
    <col min="15107" max="15109" width="11.28515625" style="10" customWidth="1"/>
    <col min="15110" max="15110" width="15.28515625" style="10" customWidth="1"/>
    <col min="15111" max="15123" width="15.7109375" style="10" customWidth="1"/>
    <col min="15124" max="15124" width="4.7109375" style="10" customWidth="1"/>
    <col min="15125" max="15126" width="12.7109375" style="10" customWidth="1"/>
    <col min="15127" max="15127" width="13.7109375" style="10" customWidth="1"/>
    <col min="15128" max="15128" width="2.28515625" style="10" bestFit="1" customWidth="1"/>
    <col min="15129" max="15129" width="18.7109375" style="10" customWidth="1"/>
    <col min="15130" max="15130" width="6.85546875" style="10" bestFit="1" customWidth="1"/>
    <col min="15131" max="15360" width="8.85546875" style="10"/>
    <col min="15361" max="15361" width="11" style="10" customWidth="1"/>
    <col min="15362" max="15362" width="50.7109375" style="10" bestFit="1" customWidth="1"/>
    <col min="15363" max="15365" width="11.28515625" style="10" customWidth="1"/>
    <col min="15366" max="15366" width="15.28515625" style="10" customWidth="1"/>
    <col min="15367" max="15379" width="15.7109375" style="10" customWidth="1"/>
    <col min="15380" max="15380" width="4.7109375" style="10" customWidth="1"/>
    <col min="15381" max="15382" width="12.7109375" style="10" customWidth="1"/>
    <col min="15383" max="15383" width="13.7109375" style="10" customWidth="1"/>
    <col min="15384" max="15384" width="2.28515625" style="10" bestFit="1" customWidth="1"/>
    <col min="15385" max="15385" width="18.7109375" style="10" customWidth="1"/>
    <col min="15386" max="15386" width="6.85546875" style="10" bestFit="1" customWidth="1"/>
    <col min="15387" max="15616" width="8.85546875" style="10"/>
    <col min="15617" max="15617" width="11" style="10" customWidth="1"/>
    <col min="15618" max="15618" width="50.7109375" style="10" bestFit="1" customWidth="1"/>
    <col min="15619" max="15621" width="11.28515625" style="10" customWidth="1"/>
    <col min="15622" max="15622" width="15.28515625" style="10" customWidth="1"/>
    <col min="15623" max="15635" width="15.7109375" style="10" customWidth="1"/>
    <col min="15636" max="15636" width="4.7109375" style="10" customWidth="1"/>
    <col min="15637" max="15638" width="12.7109375" style="10" customWidth="1"/>
    <col min="15639" max="15639" width="13.7109375" style="10" customWidth="1"/>
    <col min="15640" max="15640" width="2.28515625" style="10" bestFit="1" customWidth="1"/>
    <col min="15641" max="15641" width="18.7109375" style="10" customWidth="1"/>
    <col min="15642" max="15642" width="6.85546875" style="10" bestFit="1" customWidth="1"/>
    <col min="15643" max="15872" width="8.85546875" style="10"/>
    <col min="15873" max="15873" width="11" style="10" customWidth="1"/>
    <col min="15874" max="15874" width="50.7109375" style="10" bestFit="1" customWidth="1"/>
    <col min="15875" max="15877" width="11.28515625" style="10" customWidth="1"/>
    <col min="15878" max="15878" width="15.28515625" style="10" customWidth="1"/>
    <col min="15879" max="15891" width="15.7109375" style="10" customWidth="1"/>
    <col min="15892" max="15892" width="4.7109375" style="10" customWidth="1"/>
    <col min="15893" max="15894" width="12.7109375" style="10" customWidth="1"/>
    <col min="15895" max="15895" width="13.7109375" style="10" customWidth="1"/>
    <col min="15896" max="15896" width="2.28515625" style="10" bestFit="1" customWidth="1"/>
    <col min="15897" max="15897" width="18.7109375" style="10" customWidth="1"/>
    <col min="15898" max="15898" width="6.85546875" style="10" bestFit="1" customWidth="1"/>
    <col min="15899" max="16128" width="8.85546875" style="10"/>
    <col min="16129" max="16129" width="11" style="10" customWidth="1"/>
    <col min="16130" max="16130" width="50.7109375" style="10" bestFit="1" customWidth="1"/>
    <col min="16131" max="16133" width="11.28515625" style="10" customWidth="1"/>
    <col min="16134" max="16134" width="15.28515625" style="10" customWidth="1"/>
    <col min="16135" max="16147" width="15.7109375" style="10" customWidth="1"/>
    <col min="16148" max="16148" width="4.7109375" style="10" customWidth="1"/>
    <col min="16149" max="16150" width="12.7109375" style="10" customWidth="1"/>
    <col min="16151" max="16151" width="13.7109375" style="10" customWidth="1"/>
    <col min="16152" max="16152" width="2.28515625" style="10" bestFit="1" customWidth="1"/>
    <col min="16153" max="16153" width="18.7109375" style="10" customWidth="1"/>
    <col min="16154" max="16154" width="6.85546875" style="10" bestFit="1" customWidth="1"/>
    <col min="16155" max="16384" width="8.85546875" style="10"/>
  </cols>
  <sheetData>
    <row r="1" spans="1:26" ht="14.25" thickBot="1">
      <c r="A1" s="1"/>
      <c r="B1" s="2"/>
      <c r="C1" s="3"/>
      <c r="D1" s="3"/>
      <c r="E1" s="3"/>
      <c r="F1" s="4"/>
      <c r="G1" s="5" t="s">
        <v>0</v>
      </c>
      <c r="H1" s="6"/>
      <c r="I1" s="6"/>
      <c r="J1" s="6"/>
      <c r="K1" s="6"/>
      <c r="L1" s="6"/>
      <c r="M1" s="6"/>
      <c r="N1" s="7"/>
      <c r="O1" s="8"/>
      <c r="P1" s="8"/>
      <c r="Q1" s="8"/>
      <c r="R1" s="8"/>
      <c r="S1" s="9"/>
      <c r="U1" s="308" t="s">
        <v>1</v>
      </c>
      <c r="V1" s="309"/>
      <c r="W1" s="310"/>
      <c r="Z1" s="279">
        <f>SUM(Z4:Z286)</f>
        <v>0</v>
      </c>
    </row>
    <row r="2" spans="1:26" ht="14.25" thickBot="1">
      <c r="A2" s="12"/>
      <c r="B2" s="2"/>
      <c r="C2" s="3"/>
      <c r="D2" s="3"/>
      <c r="E2" s="3"/>
      <c r="F2" s="4"/>
      <c r="G2" s="13" t="s">
        <v>2</v>
      </c>
      <c r="H2" s="14" t="s">
        <v>3</v>
      </c>
      <c r="I2" s="14" t="s">
        <v>4</v>
      </c>
      <c r="J2" s="14" t="s">
        <v>4</v>
      </c>
      <c r="K2" s="14" t="s">
        <v>795</v>
      </c>
      <c r="L2" s="14" t="s">
        <v>5</v>
      </c>
      <c r="M2" s="14" t="s">
        <v>6</v>
      </c>
      <c r="N2" s="14" t="s">
        <v>7</v>
      </c>
      <c r="O2" s="14" t="s">
        <v>7</v>
      </c>
      <c r="P2" s="14" t="s">
        <v>7</v>
      </c>
      <c r="Q2" s="15" t="s">
        <v>7</v>
      </c>
      <c r="R2" s="15" t="s">
        <v>8</v>
      </c>
      <c r="S2" s="16" t="s">
        <v>9</v>
      </c>
      <c r="U2" s="17" t="s">
        <v>9</v>
      </c>
      <c r="V2" s="18" t="s">
        <v>9</v>
      </c>
      <c r="W2" s="19" t="s">
        <v>10</v>
      </c>
      <c r="Z2" s="279"/>
    </row>
    <row r="3" spans="1:26" ht="14.25" thickBot="1">
      <c r="A3" s="311" t="s">
        <v>11</v>
      </c>
      <c r="B3" s="312"/>
      <c r="C3" s="3"/>
      <c r="D3" s="20" t="s">
        <v>12</v>
      </c>
      <c r="E3" s="21">
        <v>12</v>
      </c>
      <c r="F3" s="4"/>
      <c r="G3" s="22" t="s">
        <v>13</v>
      </c>
      <c r="H3" s="23" t="s">
        <v>14</v>
      </c>
      <c r="I3" s="23" t="s">
        <v>2</v>
      </c>
      <c r="J3" s="23" t="s">
        <v>2</v>
      </c>
      <c r="K3" s="23" t="s">
        <v>796</v>
      </c>
      <c r="L3" s="23" t="s">
        <v>16</v>
      </c>
      <c r="M3" s="23" t="s">
        <v>2</v>
      </c>
      <c r="N3" s="23" t="s">
        <v>17</v>
      </c>
      <c r="O3" s="23" t="s">
        <v>18</v>
      </c>
      <c r="P3" s="23" t="s">
        <v>19</v>
      </c>
      <c r="Q3" s="24" t="s">
        <v>20</v>
      </c>
      <c r="R3" s="24" t="s">
        <v>21</v>
      </c>
      <c r="S3" s="25" t="s">
        <v>13</v>
      </c>
      <c r="U3" s="17" t="s">
        <v>22</v>
      </c>
      <c r="V3" s="18" t="s">
        <v>22</v>
      </c>
      <c r="W3" s="26" t="s">
        <v>9</v>
      </c>
      <c r="Z3" s="279"/>
    </row>
    <row r="4" spans="1:26">
      <c r="A4" s="27" t="s">
        <v>23</v>
      </c>
      <c r="B4" s="28" t="s">
        <v>24</v>
      </c>
      <c r="C4" s="3"/>
      <c r="D4" s="3"/>
      <c r="E4" s="3"/>
      <c r="F4" s="4"/>
      <c r="G4" s="29" t="s">
        <v>4</v>
      </c>
      <c r="H4" s="23" t="s">
        <v>25</v>
      </c>
      <c r="I4" s="23" t="s">
        <v>13</v>
      </c>
      <c r="J4" s="23" t="s">
        <v>13</v>
      </c>
      <c r="K4" s="23" t="s">
        <v>797</v>
      </c>
      <c r="L4" s="23" t="s">
        <v>27</v>
      </c>
      <c r="M4" s="23" t="s">
        <v>13</v>
      </c>
      <c r="N4" s="23"/>
      <c r="O4" s="23" t="s">
        <v>28</v>
      </c>
      <c r="P4" s="23" t="s">
        <v>28</v>
      </c>
      <c r="Q4" s="24" t="s">
        <v>29</v>
      </c>
      <c r="R4" s="24" t="s">
        <v>29</v>
      </c>
      <c r="S4" s="25" t="s">
        <v>4</v>
      </c>
      <c r="U4" s="17" t="s">
        <v>30</v>
      </c>
      <c r="V4" s="18" t="s">
        <v>31</v>
      </c>
      <c r="W4" s="26" t="s">
        <v>22</v>
      </c>
      <c r="Z4" s="279"/>
    </row>
    <row r="5" spans="1:26" ht="14.25" thickBot="1">
      <c r="A5" s="30" t="s">
        <v>32</v>
      </c>
      <c r="B5" s="31" t="s">
        <v>33</v>
      </c>
      <c r="C5" s="3"/>
      <c r="D5" s="3" t="s">
        <v>34</v>
      </c>
      <c r="E5" s="3">
        <f>HLOOKUP(E3,'[2]Current Provision - HYP'!$E$7:$BQ$9,3,FALSE)</f>
        <v>17</v>
      </c>
      <c r="F5" s="4"/>
      <c r="G5" s="32"/>
      <c r="H5" s="23" t="s">
        <v>35</v>
      </c>
      <c r="I5" s="23" t="s">
        <v>36</v>
      </c>
      <c r="J5" s="23" t="s">
        <v>37</v>
      </c>
      <c r="K5" s="23" t="s">
        <v>36</v>
      </c>
      <c r="L5" s="23" t="s">
        <v>29</v>
      </c>
      <c r="M5" s="23"/>
      <c r="N5" s="23"/>
      <c r="O5" s="23"/>
      <c r="P5" s="23"/>
      <c r="Q5" s="24"/>
      <c r="R5" s="24"/>
      <c r="S5" s="25"/>
      <c r="U5" s="17" t="s">
        <v>38</v>
      </c>
      <c r="V5" s="18" t="s">
        <v>39</v>
      </c>
      <c r="W5" s="26" t="s">
        <v>31</v>
      </c>
      <c r="Z5" s="279"/>
    </row>
    <row r="6" spans="1:26" ht="14.25" thickBot="1">
      <c r="A6" s="30" t="s">
        <v>40</v>
      </c>
      <c r="B6" s="31">
        <v>40543</v>
      </c>
      <c r="C6" s="3"/>
      <c r="D6" s="3"/>
      <c r="E6" s="3"/>
      <c r="F6" s="4"/>
      <c r="G6" s="32"/>
      <c r="H6" s="23" t="s">
        <v>41</v>
      </c>
      <c r="I6" s="23"/>
      <c r="J6" s="23"/>
      <c r="K6" s="23"/>
      <c r="L6" s="23"/>
      <c r="M6" s="23"/>
      <c r="N6" s="23"/>
      <c r="O6" s="23"/>
      <c r="P6" s="23"/>
      <c r="Q6" s="24"/>
      <c r="R6" s="24"/>
      <c r="S6" s="25"/>
      <c r="U6" s="33" t="s">
        <v>42</v>
      </c>
      <c r="V6" s="34"/>
      <c r="W6" s="35" t="s">
        <v>43</v>
      </c>
      <c r="Z6" s="279"/>
    </row>
    <row r="7" spans="1:26">
      <c r="A7" s="313" t="s">
        <v>44</v>
      </c>
      <c r="B7" s="314"/>
      <c r="C7" s="36" t="s">
        <v>45</v>
      </c>
      <c r="D7" s="37" t="s">
        <v>46</v>
      </c>
      <c r="E7" s="37" t="s">
        <v>47</v>
      </c>
      <c r="F7" s="38" t="s">
        <v>48</v>
      </c>
      <c r="G7" s="39" t="s">
        <v>49</v>
      </c>
      <c r="H7" s="39" t="s">
        <v>49</v>
      </c>
      <c r="I7" s="40" t="s">
        <v>50</v>
      </c>
      <c r="J7" s="41" t="s">
        <v>51</v>
      </c>
      <c r="K7" s="41"/>
      <c r="L7" s="41"/>
      <c r="M7" s="41" t="s">
        <v>49</v>
      </c>
      <c r="N7" s="41" t="s">
        <v>49</v>
      </c>
      <c r="O7" s="41"/>
      <c r="P7" s="41"/>
      <c r="Q7" s="42"/>
      <c r="R7" s="42" t="s">
        <v>51</v>
      </c>
      <c r="S7" s="43"/>
      <c r="U7" s="315" t="s">
        <v>52</v>
      </c>
      <c r="V7" s="316"/>
      <c r="W7" s="317"/>
      <c r="Z7" s="279"/>
    </row>
    <row r="8" spans="1:26" ht="14.25" thickBot="1">
      <c r="A8" s="44" t="s">
        <v>53</v>
      </c>
      <c r="B8" s="45" t="s">
        <v>54</v>
      </c>
      <c r="C8" s="46" t="s">
        <v>55</v>
      </c>
      <c r="D8" s="318" t="s">
        <v>56</v>
      </c>
      <c r="E8" s="319"/>
      <c r="F8" s="47" t="s">
        <v>57</v>
      </c>
      <c r="G8" s="48" t="s">
        <v>58</v>
      </c>
      <c r="H8" s="48" t="s">
        <v>59</v>
      </c>
      <c r="I8" s="49" t="s">
        <v>60</v>
      </c>
      <c r="J8" s="50" t="s">
        <v>61</v>
      </c>
      <c r="K8" s="50" t="s">
        <v>798</v>
      </c>
      <c r="L8" s="50" t="s">
        <v>62</v>
      </c>
      <c r="M8" s="50" t="s">
        <v>63</v>
      </c>
      <c r="N8" s="50" t="s">
        <v>64</v>
      </c>
      <c r="O8" s="50"/>
      <c r="P8" s="50"/>
      <c r="Q8" s="51"/>
      <c r="R8" s="51" t="s">
        <v>61</v>
      </c>
      <c r="S8" s="52"/>
      <c r="U8" s="53">
        <f>G308</f>
        <v>0.38899999999999996</v>
      </c>
      <c r="V8" s="320" t="s">
        <v>65</v>
      </c>
      <c r="W8" s="321"/>
      <c r="Z8" s="279"/>
    </row>
    <row r="9" spans="1:26">
      <c r="F9" s="55"/>
      <c r="G9" s="1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56"/>
      <c r="V9" s="56"/>
      <c r="W9" s="57"/>
      <c r="Z9" s="279"/>
    </row>
    <row r="10" spans="1:26">
      <c r="A10" s="323" t="s">
        <v>66</v>
      </c>
      <c r="B10" s="323"/>
      <c r="C10" s="323"/>
      <c r="D10" s="323"/>
      <c r="E10" s="323"/>
      <c r="F10" s="4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58"/>
      <c r="V10" s="58"/>
      <c r="W10" s="57"/>
      <c r="Z10" s="279"/>
    </row>
    <row r="11" spans="1:26">
      <c r="A11" s="57" t="s">
        <v>67</v>
      </c>
      <c r="B11" s="59" t="str">
        <f>IF(ISNA(VLOOKUP($A11,'[2]Coding (Do not delete)'!$A$7:$K$656,3,FALSE))=TRUE,0,VLOOKUP($A11,'[2]Coding (Do not delete)'!$A$7:$K$656,8,FALSE))</f>
        <v>JE#  T220  JV Gain/Loss</v>
      </c>
      <c r="C11" s="3">
        <f>IF(ISNA(VLOOKUP($A11,'[2]Coding (Do not delete)'!$A$7:$K$656,5,FALSE))=TRUE,0,VLOOKUP($A11,'[2]Coding (Do not delete)'!$A$7:$K$656,5,FALSE))</f>
        <v>108000</v>
      </c>
      <c r="D11" s="3" t="s">
        <v>68</v>
      </c>
      <c r="E11" s="3" t="s">
        <v>69</v>
      </c>
      <c r="F11" s="60" t="s">
        <v>70</v>
      </c>
      <c r="G11" s="56">
        <v>0</v>
      </c>
      <c r="H11" s="62">
        <v>0</v>
      </c>
      <c r="I11" s="56"/>
      <c r="J11" s="56">
        <v>0</v>
      </c>
      <c r="K11" s="56">
        <v>0</v>
      </c>
      <c r="L11" s="56">
        <v>0</v>
      </c>
      <c r="M11" s="61">
        <f t="shared" ref="M11:M31" si="0">SUM(G11:L11)</f>
        <v>0</v>
      </c>
      <c r="N11" s="56">
        <f>IF(ISNA(VLOOKUP($B11,'[2]Current Provision - HYP'!$A$10:$BQ$201,$E$5,FALSE))=TRUE,0,VLOOKUP($B11,'[2]Current Provision - HYP'!$A$10:$BQ$201,$E$5,FALSE))</f>
        <v>0</v>
      </c>
      <c r="O11" s="56">
        <v>0</v>
      </c>
      <c r="P11" s="58">
        <v>0</v>
      </c>
      <c r="Q11" s="58">
        <v>0</v>
      </c>
      <c r="R11" s="58">
        <v>0</v>
      </c>
      <c r="S11" s="61">
        <f>SUM(M11:R11)</f>
        <v>0</v>
      </c>
      <c r="T11" s="58"/>
      <c r="U11" s="63">
        <f t="shared" ref="U11:U31" si="1">IF(S11&gt;0,S11*$G$308,0)</f>
        <v>0</v>
      </c>
      <c r="V11" s="56">
        <f t="shared" ref="V11:V31" si="2">IF(S11&lt;0,-S11*$G$308,0)</f>
        <v>0</v>
      </c>
      <c r="W11" s="64">
        <f t="shared" ref="W11:W31" si="3">U11-V11</f>
        <v>0</v>
      </c>
      <c r="Z11" s="279">
        <f t="shared" ref="Z11:Z31" si="4">SUM(M11:R11)-S11</f>
        <v>0</v>
      </c>
    </row>
    <row r="12" spans="1:26">
      <c r="A12" s="57" t="s">
        <v>71</v>
      </c>
      <c r="B12" s="59" t="str">
        <f>IF(ISNA(VLOOKUP($A12,'[2]Coding (Do not delete)'!$A$7:$K$656,3,FALSE))=TRUE,0,VLOOKUP($A12,'[2]Coding (Do not delete)'!$A$7:$K$656,8,FALSE))</f>
        <v>JE#  T005  Uncollectible Accounts</v>
      </c>
      <c r="C12" s="3">
        <f>IF(ISNA(VLOOKUP($A12,'[2]Coding (Do not delete)'!$A$7:$K$656,5,FALSE))=TRUE,0,VLOOKUP($A12,'[2]Coding (Do not delete)'!$A$7:$K$656,5,FALSE))</f>
        <v>143000</v>
      </c>
      <c r="D12" s="3" t="s">
        <v>68</v>
      </c>
      <c r="E12" s="3" t="s">
        <v>72</v>
      </c>
      <c r="F12" s="4"/>
      <c r="G12" s="56">
        <v>282055</v>
      </c>
      <c r="H12" s="62">
        <v>0</v>
      </c>
      <c r="I12" s="56"/>
      <c r="J12" s="56">
        <v>0</v>
      </c>
      <c r="K12" s="56">
        <v>0</v>
      </c>
      <c r="L12" s="56">
        <v>0</v>
      </c>
      <c r="M12" s="61">
        <f t="shared" si="0"/>
        <v>282055</v>
      </c>
      <c r="N12" s="56">
        <f>IF(ISNA(VLOOKUP($B12,'[2]Current Provision - HYP'!$A$10:$BQ$201,$E$5,FALSE))=TRUE,0,VLOOKUP($B12,'[2]Current Provision - HYP'!$A$10:$BQ$201,$E$5,FALSE))</f>
        <v>171444</v>
      </c>
      <c r="O12" s="56">
        <v>0</v>
      </c>
      <c r="P12" s="58">
        <v>0</v>
      </c>
      <c r="Q12" s="58">
        <v>0</v>
      </c>
      <c r="R12" s="58">
        <v>0</v>
      </c>
      <c r="S12" s="61">
        <f t="shared" ref="S12:S27" si="5">SUM(M12:R12)</f>
        <v>453499</v>
      </c>
      <c r="T12" s="56"/>
      <c r="U12" s="63">
        <f t="shared" si="1"/>
        <v>176411.11099999998</v>
      </c>
      <c r="V12" s="56">
        <f t="shared" si="2"/>
        <v>0</v>
      </c>
      <c r="W12" s="64">
        <f t="shared" si="3"/>
        <v>176411.11099999998</v>
      </c>
      <c r="Z12" s="279">
        <f t="shared" si="4"/>
        <v>0</v>
      </c>
    </row>
    <row r="13" spans="1:26">
      <c r="A13" s="57" t="s">
        <v>73</v>
      </c>
      <c r="B13" s="59" t="str">
        <f>IF(ISNA(VLOOKUP($A13,'[2]Coding (Do not delete)'!$A$7:$K$656,3,FALSE))=TRUE,0,VLOOKUP($A13,'[2]Coding (Do not delete)'!$A$7:$K$656,8,FALSE))</f>
        <v>JE#  Z022  Prov/Rtn Adjustment - Uncollectibles</v>
      </c>
      <c r="C13" s="65">
        <f>IF(ISNA(VLOOKUP($A13,'[2]Coding (Do not delete)'!$A$7:$K$656,5,FALSE))=TRUE,0,VLOOKUP($A13,'[2]Coding (Do not delete)'!$A$7:$K$656,5,FALSE))</f>
        <v>143000</v>
      </c>
      <c r="D13" s="3" t="s">
        <v>68</v>
      </c>
      <c r="E13" s="65" t="s">
        <v>72</v>
      </c>
      <c r="F13" s="66"/>
      <c r="G13" s="56">
        <v>0</v>
      </c>
      <c r="H13" s="62">
        <v>0</v>
      </c>
      <c r="I13" s="56"/>
      <c r="J13" s="56">
        <v>0</v>
      </c>
      <c r="K13" s="56">
        <v>0</v>
      </c>
      <c r="L13" s="56">
        <v>0</v>
      </c>
      <c r="M13" s="61">
        <f t="shared" si="0"/>
        <v>0</v>
      </c>
      <c r="N13" s="56">
        <f>IF(ISNA(VLOOKUP($B13,'[2]Current Provision - HYP'!$A$10:$BQ$201,$E$5,FALSE))=TRUE,0,VLOOKUP($B13,'[2]Current Provision - HYP'!$A$10:$BQ$201,$E$5,FALSE))</f>
        <v>0</v>
      </c>
      <c r="O13" s="56">
        <v>0</v>
      </c>
      <c r="P13" s="58">
        <v>0</v>
      </c>
      <c r="Q13" s="58">
        <v>0</v>
      </c>
      <c r="R13" s="58">
        <v>0</v>
      </c>
      <c r="S13" s="61">
        <f t="shared" si="5"/>
        <v>0</v>
      </c>
      <c r="T13" s="56"/>
      <c r="U13" s="63">
        <f t="shared" si="1"/>
        <v>0</v>
      </c>
      <c r="V13" s="56">
        <f t="shared" si="2"/>
        <v>0</v>
      </c>
      <c r="W13" s="64">
        <f t="shared" si="3"/>
        <v>0</v>
      </c>
      <c r="Z13" s="279">
        <f t="shared" si="4"/>
        <v>0</v>
      </c>
    </row>
    <row r="14" spans="1:26">
      <c r="A14" s="57" t="s">
        <v>74</v>
      </c>
      <c r="B14" s="59" t="str">
        <f>IF(ISNA(VLOOKUP($A14,'[2]Coding (Do not delete)'!$A$7:$K$656,3,FALSE))=TRUE,0,VLOOKUP($A14,'[2]Coding (Do not delete)'!$A$7:$K$656,8,FALSE))</f>
        <v>JE#  ZZ37  Def Hist - Uncollectible Accounts - a/c 143000</v>
      </c>
      <c r="C14" s="65">
        <f>IF(ISNA(VLOOKUP($A14,'[2]Coding (Do not delete)'!$A$7:$K$656,5,FALSE))=TRUE,0,VLOOKUP($A14,'[2]Coding (Do not delete)'!$A$7:$K$656,5,FALSE))</f>
        <v>143000</v>
      </c>
      <c r="D14" s="3" t="s">
        <v>68</v>
      </c>
      <c r="E14" s="65" t="s">
        <v>72</v>
      </c>
      <c r="F14" s="66"/>
      <c r="G14" s="56">
        <v>0</v>
      </c>
      <c r="H14" s="56">
        <v>0</v>
      </c>
      <c r="I14" s="56"/>
      <c r="J14" s="56">
        <v>0</v>
      </c>
      <c r="K14" s="56">
        <v>0</v>
      </c>
      <c r="L14" s="56">
        <v>0</v>
      </c>
      <c r="M14" s="61">
        <f t="shared" si="0"/>
        <v>0</v>
      </c>
      <c r="N14" s="56">
        <f>IF(ISNA(VLOOKUP($B14,'[2]Current Provision - HYP'!$A$10:$BQ$201,$E$5,FALSE))=TRUE,0,VLOOKUP($B14,'[2]Current Provision - HYP'!$A$10:$BQ$201,$E$5,FALSE))</f>
        <v>0</v>
      </c>
      <c r="O14" s="56">
        <v>0</v>
      </c>
      <c r="P14" s="58">
        <v>0</v>
      </c>
      <c r="Q14" s="58">
        <v>0</v>
      </c>
      <c r="R14" s="58">
        <v>0</v>
      </c>
      <c r="S14" s="61">
        <f t="shared" si="5"/>
        <v>0</v>
      </c>
      <c r="T14" s="56"/>
      <c r="U14" s="63">
        <f t="shared" si="1"/>
        <v>0</v>
      </c>
      <c r="V14" s="56">
        <f t="shared" si="2"/>
        <v>0</v>
      </c>
      <c r="W14" s="64">
        <f t="shared" si="3"/>
        <v>0</v>
      </c>
      <c r="Z14" s="279">
        <f t="shared" si="4"/>
        <v>0</v>
      </c>
    </row>
    <row r="15" spans="1:26">
      <c r="A15" s="57" t="s">
        <v>75</v>
      </c>
      <c r="B15" s="59" t="str">
        <f>IF(ISNA(VLOOKUP($A15,'[2]Coding (Do not delete)'!$A$7:$K$656,3,FALSE))=TRUE,0,VLOOKUP($A15,'[2]Coding (Do not delete)'!$A$7:$K$656,8,FALSE))</f>
        <v>JE#  T010  Vacation Pay</v>
      </c>
      <c r="C15" s="3">
        <f>IF(ISNA(VLOOKUP($A15,'[2]Coding (Do not delete)'!$A$7:$K$656,5,FALSE))=TRUE,0,VLOOKUP($A15,'[2]Coding (Do not delete)'!$A$7:$K$656,5,FALSE))</f>
        <v>174100</v>
      </c>
      <c r="D15" s="3" t="s">
        <v>76</v>
      </c>
      <c r="E15" s="3" t="s">
        <v>77</v>
      </c>
      <c r="F15" s="4"/>
      <c r="G15" s="56">
        <v>28190.024299999994</v>
      </c>
      <c r="H15" s="56">
        <v>-1</v>
      </c>
      <c r="I15" s="56"/>
      <c r="J15" s="56">
        <v>0</v>
      </c>
      <c r="K15" s="56">
        <v>0</v>
      </c>
      <c r="L15" s="56">
        <v>0</v>
      </c>
      <c r="M15" s="61">
        <f t="shared" si="0"/>
        <v>28189.024299999994</v>
      </c>
      <c r="N15" s="56">
        <f>IF(ISNA(VLOOKUP($B15,'[2]Current Provision - HYP'!$A$10:$BQ$201,$E$5,FALSE))=TRUE,0,VLOOKUP($B15,'[2]Current Provision - HYP'!$A$10:$BQ$201,$E$5,FALSE))</f>
        <v>-682.29166666666674</v>
      </c>
      <c r="O15" s="56">
        <v>0</v>
      </c>
      <c r="P15" s="58">
        <v>0</v>
      </c>
      <c r="Q15" s="58">
        <v>0</v>
      </c>
      <c r="R15" s="58">
        <v>0</v>
      </c>
      <c r="S15" s="61">
        <f t="shared" si="5"/>
        <v>27506.732633333326</v>
      </c>
      <c r="T15" s="58"/>
      <c r="U15" s="63">
        <f t="shared" si="1"/>
        <v>10700.118994366663</v>
      </c>
      <c r="V15" s="56">
        <f t="shared" si="2"/>
        <v>0</v>
      </c>
      <c r="W15" s="64">
        <f t="shared" si="3"/>
        <v>10700.118994366663</v>
      </c>
      <c r="Z15" s="279">
        <f t="shared" si="4"/>
        <v>0</v>
      </c>
    </row>
    <row r="16" spans="1:26">
      <c r="A16" s="57" t="s">
        <v>78</v>
      </c>
      <c r="B16" s="59" t="str">
        <f>IF(ISNA(VLOOKUP($A16,'[2]Coding (Do not delete)'!$A$7:$K$656,3,FALSE))=TRUE,0,VLOOKUP($A16,'[2]Coding (Do not delete)'!$A$7:$K$656,8,FALSE))</f>
        <v>JE#  ZZ09  Def Hist - Vacation Pay a/c 174100</v>
      </c>
      <c r="C16" s="65">
        <f>IF(ISNA(VLOOKUP($A16,'[2]Coding (Do not delete)'!$A$7:$K$656,5,FALSE))=TRUE,0,VLOOKUP($A16,'[2]Coding (Do not delete)'!$A$7:$K$656,5,FALSE))</f>
        <v>174100</v>
      </c>
      <c r="D16" s="3" t="s">
        <v>76</v>
      </c>
      <c r="E16" s="65" t="s">
        <v>77</v>
      </c>
      <c r="F16" s="66"/>
      <c r="G16" s="56">
        <v>-38592</v>
      </c>
      <c r="H16" s="56">
        <v>0</v>
      </c>
      <c r="I16" s="56"/>
      <c r="J16" s="56">
        <v>0</v>
      </c>
      <c r="K16" s="56">
        <v>0</v>
      </c>
      <c r="L16" s="56">
        <v>0</v>
      </c>
      <c r="M16" s="61">
        <f t="shared" si="0"/>
        <v>-38592</v>
      </c>
      <c r="N16" s="56">
        <f>IF(ISNA(VLOOKUP($B16,'[2]Current Provision - HYP'!$A$10:$BQ$201,$E$5,FALSE))=TRUE,0,VLOOKUP($B16,'[2]Current Provision - HYP'!$A$10:$BQ$201,$E$5,FALSE))</f>
        <v>0</v>
      </c>
      <c r="O16" s="56">
        <v>0</v>
      </c>
      <c r="P16" s="58">
        <v>0</v>
      </c>
      <c r="Q16" s="58">
        <v>0</v>
      </c>
      <c r="R16" s="58">
        <v>0</v>
      </c>
      <c r="S16" s="61">
        <f t="shared" si="5"/>
        <v>-38592</v>
      </c>
      <c r="T16" s="56"/>
      <c r="U16" s="63">
        <f t="shared" si="1"/>
        <v>0</v>
      </c>
      <c r="V16" s="56">
        <f t="shared" si="2"/>
        <v>15012.287999999999</v>
      </c>
      <c r="W16" s="64">
        <f t="shared" si="3"/>
        <v>-15012.287999999999</v>
      </c>
      <c r="Z16" s="279">
        <f t="shared" si="4"/>
        <v>0</v>
      </c>
    </row>
    <row r="17" spans="1:26">
      <c r="A17" s="57" t="s">
        <v>79</v>
      </c>
      <c r="B17" s="59" t="str">
        <f>IF(ISNA(VLOOKUP($A17,'[2]Coding (Do not delete)'!$A$7:$K$656,3,FALSE))=TRUE,0,VLOOKUP($A17,'[2]Coding (Do not delete)'!$A$7:$K$656,8,FALSE))</f>
        <v>JE#  T215  DO NOT USE  after 2003 Foreign Interest-267 Adjustment</v>
      </c>
      <c r="C17" s="3">
        <f>IF(ISNA(VLOOKUP($A17,'[2]Coding (Do not delete)'!$A$7:$K$656,5,FALSE))=TRUE,0,VLOOKUP($A17,'[2]Coding (Do not delete)'!$A$7:$K$656,5,FALSE))</f>
        <v>210240</v>
      </c>
      <c r="D17" s="3" t="s">
        <v>68</v>
      </c>
      <c r="E17" s="3" t="s">
        <v>72</v>
      </c>
      <c r="F17" s="66"/>
      <c r="G17" s="56">
        <v>0</v>
      </c>
      <c r="H17" s="56">
        <v>0</v>
      </c>
      <c r="I17" s="56"/>
      <c r="J17" s="56">
        <v>0</v>
      </c>
      <c r="K17" s="56">
        <v>0</v>
      </c>
      <c r="L17" s="56">
        <v>0</v>
      </c>
      <c r="M17" s="61">
        <f t="shared" si="0"/>
        <v>0</v>
      </c>
      <c r="N17" s="56">
        <f>IF(ISNA(VLOOKUP($B17,'[2]Current Provision - HYP'!$A$10:$BQ$201,$E$5,FALSE))=TRUE,0,VLOOKUP($B17,'[2]Current Provision - HYP'!$A$10:$BQ$201,$E$5,FALSE))</f>
        <v>0</v>
      </c>
      <c r="O17" s="56">
        <v>0</v>
      </c>
      <c r="P17" s="58">
        <v>0</v>
      </c>
      <c r="Q17" s="58">
        <v>0</v>
      </c>
      <c r="R17" s="58">
        <v>0</v>
      </c>
      <c r="S17" s="61">
        <f t="shared" si="5"/>
        <v>0</v>
      </c>
      <c r="T17" s="58"/>
      <c r="U17" s="63">
        <f t="shared" si="1"/>
        <v>0</v>
      </c>
      <c r="V17" s="56">
        <f t="shared" si="2"/>
        <v>0</v>
      </c>
      <c r="W17" s="64">
        <f t="shared" si="3"/>
        <v>0</v>
      </c>
      <c r="Z17" s="279">
        <f t="shared" si="4"/>
        <v>0</v>
      </c>
    </row>
    <row r="18" spans="1:26">
      <c r="A18" s="57" t="s">
        <v>80</v>
      </c>
      <c r="B18" s="59" t="str">
        <f>IF(ISNA(VLOOKUP($A18,'[2]Coding (Do not delete)'!$A$7:$K$656,3,FALSE))=TRUE,0,VLOOKUP($A18,'[2]Coding (Do not delete)'!$A$7:$K$656,8,FALSE))</f>
        <v>JE#  T015  Customer Deposits</v>
      </c>
      <c r="C18" s="3">
        <f>IF(ISNA(VLOOKUP($A18,'[2]Coding (Do not delete)'!$A$7:$K$656,5,FALSE))=TRUE,0,VLOOKUP($A18,'[2]Coding (Do not delete)'!$A$7:$K$656,5,FALSE))</f>
        <v>238010</v>
      </c>
      <c r="D18" s="3" t="s">
        <v>68</v>
      </c>
      <c r="E18" s="3" t="s">
        <v>81</v>
      </c>
      <c r="F18" s="66"/>
      <c r="G18" s="56">
        <v>-45659</v>
      </c>
      <c r="H18" s="56">
        <v>0</v>
      </c>
      <c r="I18" s="56"/>
      <c r="J18" s="56">
        <v>0</v>
      </c>
      <c r="K18" s="56">
        <v>0</v>
      </c>
      <c r="L18" s="56">
        <v>0</v>
      </c>
      <c r="M18" s="61">
        <f t="shared" si="0"/>
        <v>-45659</v>
      </c>
      <c r="N18" s="56">
        <f>IF(ISNA(VLOOKUP($B18,'[2]Current Provision - HYP'!$A$10:$BQ$201,$E$5,FALSE))=TRUE,0,VLOOKUP($B18,'[2]Current Provision - HYP'!$A$10:$BQ$201,$E$5,FALSE))</f>
        <v>0</v>
      </c>
      <c r="O18" s="56">
        <v>0</v>
      </c>
      <c r="P18" s="58">
        <v>0</v>
      </c>
      <c r="Q18" s="58">
        <v>0</v>
      </c>
      <c r="R18" s="58">
        <v>0</v>
      </c>
      <c r="S18" s="61">
        <f t="shared" si="5"/>
        <v>-45659</v>
      </c>
      <c r="T18" s="58"/>
      <c r="U18" s="63">
        <f t="shared" si="1"/>
        <v>0</v>
      </c>
      <c r="V18" s="56">
        <f t="shared" si="2"/>
        <v>17761.350999999999</v>
      </c>
      <c r="W18" s="64">
        <f t="shared" si="3"/>
        <v>-17761.350999999999</v>
      </c>
      <c r="Z18" s="279">
        <f t="shared" si="4"/>
        <v>0</v>
      </c>
    </row>
    <row r="19" spans="1:26">
      <c r="A19" s="57" t="s">
        <v>82</v>
      </c>
      <c r="B19" s="59" t="str">
        <f>IF(ISNA(VLOOKUP($A19,'[2]Coding (Do not delete)'!$A$7:$K$656,3,FALSE))=TRUE,0,VLOOKUP($A19,'[2]Coding (Do not delete)'!$A$7:$K$656,8,FALSE))</f>
        <v>JE#  ZZ14  Def Hist - Customer Deposits a/c 238010</v>
      </c>
      <c r="C19" s="65">
        <f>IF(ISNA(VLOOKUP($A19,'[2]Coding (Do not delete)'!$A$7:$K$656,5,FALSE))=TRUE,0,VLOOKUP($A19,'[2]Coding (Do not delete)'!$A$7:$K$656,5,FALSE))</f>
        <v>238010</v>
      </c>
      <c r="D19" s="65" t="s">
        <v>68</v>
      </c>
      <c r="E19" s="65" t="s">
        <v>81</v>
      </c>
      <c r="F19" s="66"/>
      <c r="G19" s="56">
        <v>37050</v>
      </c>
      <c r="H19" s="56">
        <v>0</v>
      </c>
      <c r="I19" s="56"/>
      <c r="J19" s="56">
        <v>0</v>
      </c>
      <c r="K19" s="56">
        <v>0</v>
      </c>
      <c r="L19" s="56">
        <v>0</v>
      </c>
      <c r="M19" s="61">
        <f t="shared" si="0"/>
        <v>37050</v>
      </c>
      <c r="N19" s="56">
        <f>IF(ISNA(VLOOKUP($B19,'[2]Current Provision - HYP'!$A$10:$BQ$201,$E$5,FALSE))=TRUE,0,VLOOKUP($B19,'[2]Current Provision - HYP'!$A$10:$BQ$201,$E$5,FALSE))</f>
        <v>0</v>
      </c>
      <c r="O19" s="56">
        <v>0</v>
      </c>
      <c r="P19" s="58">
        <v>0</v>
      </c>
      <c r="Q19" s="58">
        <v>0</v>
      </c>
      <c r="R19" s="58">
        <v>0</v>
      </c>
      <c r="S19" s="61">
        <f t="shared" si="5"/>
        <v>37050</v>
      </c>
      <c r="T19" s="56"/>
      <c r="U19" s="63">
        <f t="shared" si="1"/>
        <v>14412.449999999999</v>
      </c>
      <c r="V19" s="56">
        <f t="shared" si="2"/>
        <v>0</v>
      </c>
      <c r="W19" s="64">
        <f t="shared" si="3"/>
        <v>14412.449999999999</v>
      </c>
      <c r="Z19" s="279">
        <f t="shared" si="4"/>
        <v>0</v>
      </c>
    </row>
    <row r="20" spans="1:26">
      <c r="A20" s="57" t="s">
        <v>83</v>
      </c>
      <c r="B20" s="59" t="str">
        <f>IF(ISNA(VLOOKUP($A20,'[2]Coding (Do not delete)'!$A$7:$K$656,3,FALSE))=TRUE,0,VLOOKUP($A20,'[2]Coding (Do not delete)'!$A$7:$K$656,8,FALSE))</f>
        <v>JE#  ZZ15  Def Hist - Unclaimed Cus Dep - a/c 238020</v>
      </c>
      <c r="C20" s="65">
        <f>IF(ISNA(VLOOKUP($A20,'[2]Coding (Do not delete)'!$A$7:$K$656,5,FALSE))=TRUE,0,VLOOKUP($A20,'[2]Coding (Do not delete)'!$A$7:$K$656,5,FALSE))</f>
        <v>238020</v>
      </c>
      <c r="D20" s="65" t="s">
        <v>68</v>
      </c>
      <c r="E20" s="65" t="s">
        <v>81</v>
      </c>
      <c r="F20" s="66"/>
      <c r="G20" s="56">
        <v>8609</v>
      </c>
      <c r="H20" s="56">
        <v>0</v>
      </c>
      <c r="I20" s="56"/>
      <c r="J20" s="56">
        <v>0</v>
      </c>
      <c r="K20" s="56">
        <v>0</v>
      </c>
      <c r="L20" s="56">
        <v>0</v>
      </c>
      <c r="M20" s="61">
        <f t="shared" si="0"/>
        <v>8609</v>
      </c>
      <c r="N20" s="56">
        <f>IF(ISNA(VLOOKUP($B20,'[2]Current Provision - HYP'!$A$10:$BQ$201,$E$5,FALSE))=TRUE,0,VLOOKUP($B20,'[2]Current Provision - HYP'!$A$10:$BQ$201,$E$5,FALSE))</f>
        <v>0</v>
      </c>
      <c r="O20" s="56">
        <v>0</v>
      </c>
      <c r="P20" s="58">
        <v>0</v>
      </c>
      <c r="Q20" s="58">
        <v>0</v>
      </c>
      <c r="R20" s="58">
        <v>0</v>
      </c>
      <c r="S20" s="61">
        <f t="shared" si="5"/>
        <v>8609</v>
      </c>
      <c r="T20" s="56"/>
      <c r="U20" s="63">
        <f t="shared" si="1"/>
        <v>3348.9009999999998</v>
      </c>
      <c r="V20" s="56">
        <f t="shared" si="2"/>
        <v>0</v>
      </c>
      <c r="W20" s="64">
        <f t="shared" si="3"/>
        <v>3348.9009999999998</v>
      </c>
      <c r="Z20" s="279">
        <f t="shared" si="4"/>
        <v>0</v>
      </c>
    </row>
    <row r="21" spans="1:26">
      <c r="A21" s="57" t="s">
        <v>84</v>
      </c>
      <c r="B21" s="59" t="str">
        <f>IF(ISNA(VLOOKUP($A21,'[2]Coding (Do not delete)'!$A$7:$K$656,3,FALSE))=TRUE,0,VLOOKUP($A21,'[2]Coding (Do not delete)'!$A$7:$K$656,8,FALSE))</f>
        <v>JE#  T210  Section 163(j) Limitation</v>
      </c>
      <c r="C21" s="65">
        <f>IF(ISNA(VLOOKUP($A21,'[2]Coding (Do not delete)'!$A$7:$K$656,5,FALSE))=TRUE,0,VLOOKUP($A21,'[2]Coding (Do not delete)'!$A$7:$K$656,5,FALSE))</f>
        <v>210240</v>
      </c>
      <c r="D21" s="65" t="s">
        <v>68</v>
      </c>
      <c r="E21" s="65" t="s">
        <v>72</v>
      </c>
      <c r="F21" s="66"/>
      <c r="G21" s="56">
        <v>0</v>
      </c>
      <c r="H21" s="56">
        <v>0</v>
      </c>
      <c r="I21" s="56"/>
      <c r="J21" s="56">
        <v>0</v>
      </c>
      <c r="K21" s="56">
        <v>0</v>
      </c>
      <c r="L21" s="56">
        <v>0</v>
      </c>
      <c r="M21" s="61">
        <f t="shared" si="0"/>
        <v>0</v>
      </c>
      <c r="N21" s="56">
        <f>IF(ISNA(VLOOKUP($B21,'[2]Current Provision - HYP'!$A$10:$BQ$201,$E$5,FALSE))=TRUE,0,VLOOKUP($B21,'[2]Current Provision - HYP'!$A$10:$BQ$201,$E$5,FALSE))</f>
        <v>0</v>
      </c>
      <c r="O21" s="56">
        <v>0</v>
      </c>
      <c r="P21" s="58">
        <v>0</v>
      </c>
      <c r="Q21" s="58">
        <v>0</v>
      </c>
      <c r="R21" s="58">
        <v>0</v>
      </c>
      <c r="S21" s="61">
        <f t="shared" si="5"/>
        <v>0</v>
      </c>
      <c r="T21" s="56"/>
      <c r="U21" s="63">
        <f t="shared" si="1"/>
        <v>0</v>
      </c>
      <c r="V21" s="56">
        <f t="shared" si="2"/>
        <v>0</v>
      </c>
      <c r="W21" s="64">
        <f t="shared" si="3"/>
        <v>0</v>
      </c>
      <c r="Z21" s="279">
        <f t="shared" si="4"/>
        <v>0</v>
      </c>
    </row>
    <row r="22" spans="1:26">
      <c r="A22" s="57" t="s">
        <v>85</v>
      </c>
      <c r="B22" s="59" t="str">
        <f>IF(ISNA(VLOOKUP($A22,'[2]Coding (Do not delete)'!$A$7:$K$656,3,FALSE))=TRUE,0,VLOOKUP($A22,'[2]Coding (Do not delete)'!$A$7:$K$656,8,FALSE))</f>
        <v>JE#  T216  Foreign Interest-267 Adjustment</v>
      </c>
      <c r="C22" s="65">
        <f>IF(ISNA(VLOOKUP($A22,'[2]Coding (Do not delete)'!$A$7:$K$656,5,FALSE))=TRUE,0,VLOOKUP($A22,'[2]Coding (Do not delete)'!$A$7:$K$656,5,FALSE))</f>
        <v>210240</v>
      </c>
      <c r="D22" s="65" t="s">
        <v>68</v>
      </c>
      <c r="E22" s="65" t="s">
        <v>72</v>
      </c>
      <c r="F22" s="66"/>
      <c r="G22" s="56">
        <v>0</v>
      </c>
      <c r="H22" s="56">
        <v>0</v>
      </c>
      <c r="I22" s="56"/>
      <c r="J22" s="56">
        <v>0</v>
      </c>
      <c r="K22" s="56">
        <v>0</v>
      </c>
      <c r="L22" s="56">
        <v>0</v>
      </c>
      <c r="M22" s="61">
        <f t="shared" si="0"/>
        <v>0</v>
      </c>
      <c r="N22" s="56">
        <f>IF(ISNA(VLOOKUP($B22,'[2]Current Provision - HYP'!$A$10:$BQ$201,$E$5,FALSE))=TRUE,0,VLOOKUP($B22,'[2]Current Provision - HYP'!$A$10:$BQ$201,$E$5,FALSE))</f>
        <v>0</v>
      </c>
      <c r="O22" s="56">
        <v>0</v>
      </c>
      <c r="P22" s="58">
        <v>0</v>
      </c>
      <c r="Q22" s="58">
        <v>0</v>
      </c>
      <c r="R22" s="58">
        <v>0</v>
      </c>
      <c r="S22" s="61">
        <f t="shared" si="5"/>
        <v>0</v>
      </c>
      <c r="T22" s="56"/>
      <c r="U22" s="63">
        <f t="shared" si="1"/>
        <v>0</v>
      </c>
      <c r="V22" s="56">
        <f t="shared" si="2"/>
        <v>0</v>
      </c>
      <c r="W22" s="64">
        <f t="shared" si="3"/>
        <v>0</v>
      </c>
      <c r="Z22" s="279">
        <f t="shared" si="4"/>
        <v>0</v>
      </c>
    </row>
    <row r="23" spans="1:26">
      <c r="A23" s="57" t="s">
        <v>86</v>
      </c>
      <c r="B23" s="59" t="s">
        <v>87</v>
      </c>
      <c r="C23" s="65"/>
      <c r="D23" s="65" t="s">
        <v>76</v>
      </c>
      <c r="E23" s="65" t="s">
        <v>88</v>
      </c>
      <c r="F23" s="66"/>
      <c r="G23" s="56">
        <v>0</v>
      </c>
      <c r="H23" s="56">
        <v>0</v>
      </c>
      <c r="I23" s="56"/>
      <c r="J23" s="56">
        <v>0</v>
      </c>
      <c r="K23" s="56">
        <v>0</v>
      </c>
      <c r="L23" s="56">
        <v>0</v>
      </c>
      <c r="M23" s="61">
        <f t="shared" si="0"/>
        <v>0</v>
      </c>
      <c r="N23" s="56">
        <f>IF(ISNA(VLOOKUP($B23,'[2]Current Provision - HYP'!$A$10:$BQ$201,$E$5,FALSE))=TRUE,0,VLOOKUP($B23,'[2]Current Provision - HYP'!$A$10:$BQ$201,$E$5,FALSE))</f>
        <v>0</v>
      </c>
      <c r="O23" s="56">
        <v>0</v>
      </c>
      <c r="P23" s="58">
        <v>0</v>
      </c>
      <c r="Q23" s="58">
        <v>0</v>
      </c>
      <c r="R23" s="58">
        <v>0</v>
      </c>
      <c r="S23" s="61">
        <f t="shared" si="5"/>
        <v>0</v>
      </c>
      <c r="T23" s="56"/>
      <c r="U23" s="63">
        <f t="shared" si="1"/>
        <v>0</v>
      </c>
      <c r="V23" s="56">
        <f t="shared" si="2"/>
        <v>0</v>
      </c>
      <c r="W23" s="64">
        <f t="shared" si="3"/>
        <v>0</v>
      </c>
      <c r="Z23" s="279">
        <f t="shared" si="4"/>
        <v>0</v>
      </c>
    </row>
    <row r="24" spans="1:26">
      <c r="A24" s="57" t="s">
        <v>86</v>
      </c>
      <c r="B24" s="59" t="s">
        <v>89</v>
      </c>
      <c r="C24" s="65"/>
      <c r="D24" s="65" t="s">
        <v>68</v>
      </c>
      <c r="E24" s="65" t="s">
        <v>90</v>
      </c>
      <c r="F24" s="66"/>
      <c r="G24" s="56">
        <v>284263</v>
      </c>
      <c r="H24" s="56">
        <v>0</v>
      </c>
      <c r="I24" s="56"/>
      <c r="J24" s="56">
        <v>0</v>
      </c>
      <c r="K24" s="56">
        <v>0</v>
      </c>
      <c r="L24" s="56">
        <v>0</v>
      </c>
      <c r="M24" s="61">
        <f t="shared" si="0"/>
        <v>284263</v>
      </c>
      <c r="N24" s="56">
        <f>IF(ISNA(VLOOKUP($B24,'[2]Current Provision - HYP'!$A$10:$BQ$201,$E$5,FALSE))=TRUE,0,VLOOKUP($B24,'[2]Current Provision - HYP'!$A$10:$BQ$201,$E$5,FALSE))</f>
        <v>0</v>
      </c>
      <c r="O24" s="56">
        <v>0</v>
      </c>
      <c r="P24" s="58">
        <v>0</v>
      </c>
      <c r="Q24" s="58">
        <v>0</v>
      </c>
      <c r="R24" s="58">
        <v>0</v>
      </c>
      <c r="S24" s="61">
        <f t="shared" si="5"/>
        <v>284263</v>
      </c>
      <c r="T24" s="56"/>
      <c r="U24" s="63">
        <f t="shared" si="1"/>
        <v>110578.30699999999</v>
      </c>
      <c r="V24" s="56">
        <f t="shared" si="2"/>
        <v>0</v>
      </c>
      <c r="W24" s="64">
        <f t="shared" si="3"/>
        <v>110578.30699999999</v>
      </c>
      <c r="Z24" s="279">
        <f t="shared" si="4"/>
        <v>0</v>
      </c>
    </row>
    <row r="25" spans="1:26">
      <c r="A25" s="57" t="s">
        <v>86</v>
      </c>
      <c r="B25" s="59" t="s">
        <v>91</v>
      </c>
      <c r="C25" s="65"/>
      <c r="D25" s="65" t="s">
        <v>68</v>
      </c>
      <c r="E25" s="65" t="s">
        <v>88</v>
      </c>
      <c r="F25" s="66"/>
      <c r="G25" s="56">
        <v>0</v>
      </c>
      <c r="H25" s="56">
        <v>0</v>
      </c>
      <c r="I25" s="56"/>
      <c r="J25" s="56">
        <v>0</v>
      </c>
      <c r="K25" s="56">
        <v>0</v>
      </c>
      <c r="L25" s="56">
        <v>0</v>
      </c>
      <c r="M25" s="61">
        <f t="shared" si="0"/>
        <v>0</v>
      </c>
      <c r="N25" s="56">
        <f>IF(ISNA(VLOOKUP($B25,'[2]Current Provision - HYP'!$A$10:$BQ$201,$E$5,FALSE))=TRUE,0,VLOOKUP($B25,'[2]Current Provision - HYP'!$A$10:$BQ$201,$E$5,FALSE))</f>
        <v>0</v>
      </c>
      <c r="O25" s="56">
        <v>0</v>
      </c>
      <c r="P25" s="58">
        <v>0</v>
      </c>
      <c r="Q25" s="58">
        <v>0</v>
      </c>
      <c r="R25" s="58">
        <v>0</v>
      </c>
      <c r="S25" s="61">
        <f t="shared" si="5"/>
        <v>0</v>
      </c>
      <c r="T25" s="56"/>
      <c r="U25" s="63">
        <f t="shared" si="1"/>
        <v>0</v>
      </c>
      <c r="V25" s="56">
        <f t="shared" si="2"/>
        <v>0</v>
      </c>
      <c r="W25" s="64">
        <f t="shared" si="3"/>
        <v>0</v>
      </c>
      <c r="Z25" s="279">
        <f t="shared" si="4"/>
        <v>0</v>
      </c>
    </row>
    <row r="26" spans="1:26">
      <c r="A26" s="57" t="s">
        <v>86</v>
      </c>
      <c r="B26" s="59" t="s">
        <v>92</v>
      </c>
      <c r="C26" s="65"/>
      <c r="D26" s="65" t="s">
        <v>93</v>
      </c>
      <c r="E26" s="65" t="s">
        <v>90</v>
      </c>
      <c r="F26" s="66"/>
      <c r="G26" s="56">
        <v>-284263</v>
      </c>
      <c r="H26" s="56">
        <v>0</v>
      </c>
      <c r="I26" s="56"/>
      <c r="J26" s="56">
        <v>0</v>
      </c>
      <c r="K26" s="56">
        <v>0</v>
      </c>
      <c r="L26" s="56">
        <v>0</v>
      </c>
      <c r="M26" s="61">
        <f t="shared" si="0"/>
        <v>-284263</v>
      </c>
      <c r="N26" s="56">
        <f>IF(ISNA(VLOOKUP($B26,'[2]Current Provision - HYP'!$A$10:$BQ$201,$E$5,FALSE))=TRUE,0,VLOOKUP($B26,'[2]Current Provision - HYP'!$A$10:$BQ$201,$E$5,FALSE))</f>
        <v>0</v>
      </c>
      <c r="O26" s="56">
        <v>0</v>
      </c>
      <c r="P26" s="58">
        <v>0</v>
      </c>
      <c r="Q26" s="58">
        <v>0</v>
      </c>
      <c r="R26" s="58">
        <v>0</v>
      </c>
      <c r="S26" s="61">
        <f t="shared" si="5"/>
        <v>-284263</v>
      </c>
      <c r="T26" s="56"/>
      <c r="U26" s="63">
        <f t="shared" si="1"/>
        <v>0</v>
      </c>
      <c r="V26" s="56">
        <f t="shared" si="2"/>
        <v>110578.30699999999</v>
      </c>
      <c r="W26" s="64">
        <f t="shared" si="3"/>
        <v>-110578.30699999999</v>
      </c>
      <c r="Z26" s="279">
        <f t="shared" si="4"/>
        <v>0</v>
      </c>
    </row>
    <row r="27" spans="1:26">
      <c r="A27" s="57" t="s">
        <v>86</v>
      </c>
      <c r="B27" s="59" t="s">
        <v>94</v>
      </c>
      <c r="C27" s="65"/>
      <c r="D27" s="65" t="s">
        <v>76</v>
      </c>
      <c r="E27" s="65" t="s">
        <v>95</v>
      </c>
      <c r="F27" s="66"/>
      <c r="G27" s="56">
        <v>0</v>
      </c>
      <c r="H27" s="56">
        <v>0</v>
      </c>
      <c r="I27" s="56"/>
      <c r="J27" s="56">
        <v>0</v>
      </c>
      <c r="K27" s="56">
        <v>0</v>
      </c>
      <c r="L27" s="56">
        <v>0</v>
      </c>
      <c r="M27" s="61">
        <f t="shared" si="0"/>
        <v>0</v>
      </c>
      <c r="N27" s="56">
        <f>IF(ISNA(VLOOKUP($B27,'[2]Current Provision - HYP'!$A$10:$BQ$201,$E$5,FALSE))=TRUE,0,VLOOKUP($B27,'[2]Current Provision - HYP'!$A$10:$BQ$201,$E$5,FALSE))</f>
        <v>0</v>
      </c>
      <c r="O27" s="56">
        <v>0</v>
      </c>
      <c r="P27" s="58">
        <v>0</v>
      </c>
      <c r="Q27" s="58">
        <v>0</v>
      </c>
      <c r="R27" s="58">
        <v>0</v>
      </c>
      <c r="S27" s="67">
        <f t="shared" si="5"/>
        <v>0</v>
      </c>
      <c r="T27" s="56"/>
      <c r="U27" s="63">
        <f t="shared" si="1"/>
        <v>0</v>
      </c>
      <c r="V27" s="56">
        <f t="shared" si="2"/>
        <v>0</v>
      </c>
      <c r="W27" s="64">
        <f t="shared" si="3"/>
        <v>0</v>
      </c>
      <c r="Z27" s="279">
        <f t="shared" si="4"/>
        <v>0</v>
      </c>
    </row>
    <row r="28" spans="1:26">
      <c r="A28" s="57" t="s">
        <v>86</v>
      </c>
      <c r="B28" s="59" t="s">
        <v>96</v>
      </c>
      <c r="C28" s="65"/>
      <c r="D28" s="65"/>
      <c r="E28" s="65" t="s">
        <v>72</v>
      </c>
      <c r="F28" s="66"/>
      <c r="G28" s="56">
        <v>0</v>
      </c>
      <c r="H28" s="56">
        <v>0</v>
      </c>
      <c r="I28" s="56"/>
      <c r="J28" s="56">
        <v>0</v>
      </c>
      <c r="K28" s="56">
        <v>0</v>
      </c>
      <c r="L28" s="56">
        <v>0</v>
      </c>
      <c r="M28" s="61">
        <f t="shared" si="0"/>
        <v>0</v>
      </c>
      <c r="N28" s="56">
        <f>IF(ISNA(VLOOKUP($B28,'[2]Current Provision - HYP'!$A$10:$BQ$201,$E$5,FALSE))=TRUE,0,VLOOKUP($B28,'[2]Current Provision - HYP'!$A$10:$BQ$201,$E$5,FALSE))</f>
        <v>0</v>
      </c>
      <c r="O28" s="56">
        <v>0</v>
      </c>
      <c r="P28" s="58">
        <v>0</v>
      </c>
      <c r="Q28" s="58">
        <v>0</v>
      </c>
      <c r="R28" s="58">
        <v>0</v>
      </c>
      <c r="S28" s="61">
        <f>SUM(M28:R28)</f>
        <v>0</v>
      </c>
      <c r="T28" s="56"/>
      <c r="U28" s="63">
        <f t="shared" si="1"/>
        <v>0</v>
      </c>
      <c r="V28" s="56">
        <f t="shared" si="2"/>
        <v>0</v>
      </c>
      <c r="W28" s="64">
        <f t="shared" si="3"/>
        <v>0</v>
      </c>
      <c r="Z28" s="279">
        <f t="shared" si="4"/>
        <v>0</v>
      </c>
    </row>
    <row r="29" spans="1:26">
      <c r="A29" s="57" t="s">
        <v>86</v>
      </c>
      <c r="B29" s="59" t="s">
        <v>97</v>
      </c>
      <c r="C29" s="65"/>
      <c r="D29" s="65"/>
      <c r="E29" s="65" t="s">
        <v>95</v>
      </c>
      <c r="F29" s="66"/>
      <c r="G29" s="56">
        <v>0</v>
      </c>
      <c r="H29" s="56">
        <v>0</v>
      </c>
      <c r="I29" s="56"/>
      <c r="J29" s="56">
        <v>0</v>
      </c>
      <c r="K29" s="56">
        <v>0</v>
      </c>
      <c r="L29" s="56">
        <v>0</v>
      </c>
      <c r="M29" s="61">
        <f t="shared" si="0"/>
        <v>0</v>
      </c>
      <c r="N29" s="56">
        <f>IF(ISNA(VLOOKUP($B29,'[2]Current Provision - HYP'!$A$10:$BQ$201,$E$5,FALSE))=TRUE,0,VLOOKUP($B29,'[2]Current Provision - HYP'!$A$10:$BQ$201,$E$5,FALSE))</f>
        <v>0</v>
      </c>
      <c r="O29" s="56">
        <v>0</v>
      </c>
      <c r="P29" s="58">
        <v>0</v>
      </c>
      <c r="Q29" s="58">
        <v>0</v>
      </c>
      <c r="R29" s="58">
        <v>0</v>
      </c>
      <c r="S29" s="61">
        <f>SUM(M29:R29)</f>
        <v>0</v>
      </c>
      <c r="T29" s="56"/>
      <c r="U29" s="63">
        <f t="shared" si="1"/>
        <v>0</v>
      </c>
      <c r="V29" s="56">
        <f t="shared" si="2"/>
        <v>0</v>
      </c>
      <c r="W29" s="64">
        <f t="shared" si="3"/>
        <v>0</v>
      </c>
      <c r="Z29" s="279">
        <f t="shared" si="4"/>
        <v>0</v>
      </c>
    </row>
    <row r="30" spans="1:26">
      <c r="A30" s="57" t="s">
        <v>86</v>
      </c>
      <c r="B30" s="59" t="s">
        <v>98</v>
      </c>
      <c r="C30" s="65"/>
      <c r="D30" s="65"/>
      <c r="E30" s="65"/>
      <c r="F30" s="66"/>
      <c r="G30" s="56">
        <v>0</v>
      </c>
      <c r="H30" s="56">
        <v>0</v>
      </c>
      <c r="I30" s="56"/>
      <c r="J30" s="56">
        <v>0</v>
      </c>
      <c r="K30" s="56">
        <v>0</v>
      </c>
      <c r="L30" s="56">
        <v>0</v>
      </c>
      <c r="M30" s="61">
        <f t="shared" si="0"/>
        <v>0</v>
      </c>
      <c r="N30" s="56">
        <f>IF(ISNA(VLOOKUP($B30,'[2]Current Provision - HYP'!$A$10:$BQ$201,$E$5,FALSE))=TRUE,0,VLOOKUP($B30,'[2]Current Provision - HYP'!$A$10:$BQ$201,$E$5,FALSE))</f>
        <v>0</v>
      </c>
      <c r="O30" s="56">
        <v>0</v>
      </c>
      <c r="P30" s="58">
        <v>0</v>
      </c>
      <c r="Q30" s="58">
        <v>0</v>
      </c>
      <c r="R30" s="58">
        <v>0</v>
      </c>
      <c r="S30" s="61">
        <f>SUM(M30:R30)</f>
        <v>0</v>
      </c>
      <c r="T30" s="56"/>
      <c r="U30" s="63">
        <f t="shared" si="1"/>
        <v>0</v>
      </c>
      <c r="V30" s="56">
        <f t="shared" si="2"/>
        <v>0</v>
      </c>
      <c r="W30" s="64">
        <f t="shared" si="3"/>
        <v>0</v>
      </c>
      <c r="Z30" s="279">
        <f t="shared" si="4"/>
        <v>0</v>
      </c>
    </row>
    <row r="31" spans="1:26">
      <c r="A31" s="57" t="s">
        <v>86</v>
      </c>
      <c r="B31" s="59" t="s">
        <v>98</v>
      </c>
      <c r="C31" s="65"/>
      <c r="D31" s="65"/>
      <c r="E31" s="65"/>
      <c r="F31" s="66"/>
      <c r="G31" s="56">
        <v>0</v>
      </c>
      <c r="H31" s="56">
        <v>0</v>
      </c>
      <c r="I31" s="56"/>
      <c r="J31" s="56">
        <v>0</v>
      </c>
      <c r="K31" s="56">
        <v>0</v>
      </c>
      <c r="L31" s="56">
        <v>0</v>
      </c>
      <c r="M31" s="61">
        <f t="shared" si="0"/>
        <v>0</v>
      </c>
      <c r="N31" s="56">
        <f>IF(ISNA(VLOOKUP($B31,'[2]Current Provision - HYP'!$A$10:$BQ$201,$E$5,FALSE))=TRUE,0,VLOOKUP($B31,'[2]Current Provision - HYP'!$A$10:$BQ$201,$E$5,FALSE))</f>
        <v>0</v>
      </c>
      <c r="O31" s="56">
        <v>0</v>
      </c>
      <c r="P31" s="58">
        <v>0</v>
      </c>
      <c r="Q31" s="58">
        <v>0</v>
      </c>
      <c r="R31" s="58">
        <v>0</v>
      </c>
      <c r="S31" s="61">
        <f>SUM(M31:R31)</f>
        <v>0</v>
      </c>
      <c r="T31" s="56"/>
      <c r="U31" s="63">
        <f t="shared" si="1"/>
        <v>0</v>
      </c>
      <c r="V31" s="56">
        <f t="shared" si="2"/>
        <v>0</v>
      </c>
      <c r="W31" s="64">
        <f t="shared" si="3"/>
        <v>0</v>
      </c>
      <c r="Z31" s="279">
        <f t="shared" si="4"/>
        <v>0</v>
      </c>
    </row>
    <row r="32" spans="1:26">
      <c r="A32" s="68" t="s">
        <v>99</v>
      </c>
      <c r="B32" s="68"/>
      <c r="C32" s="69"/>
      <c r="D32" s="69"/>
      <c r="E32" s="69"/>
      <c r="F32" s="70" t="s">
        <v>100</v>
      </c>
      <c r="G32" s="71">
        <f t="shared" ref="G32:S32" si="6">SUM(G11:G31)</f>
        <v>271653.02429999993</v>
      </c>
      <c r="H32" s="71">
        <f t="shared" si="6"/>
        <v>-1</v>
      </c>
      <c r="I32" s="71">
        <f t="shared" si="6"/>
        <v>0</v>
      </c>
      <c r="J32" s="71">
        <f t="shared" si="6"/>
        <v>0</v>
      </c>
      <c r="K32" s="71">
        <f t="shared" si="6"/>
        <v>0</v>
      </c>
      <c r="L32" s="71">
        <f t="shared" si="6"/>
        <v>0</v>
      </c>
      <c r="M32" s="71">
        <f t="shared" si="6"/>
        <v>271652.02429999993</v>
      </c>
      <c r="N32" s="71">
        <f t="shared" si="6"/>
        <v>170761.70833333334</v>
      </c>
      <c r="O32" s="71">
        <f t="shared" si="6"/>
        <v>0</v>
      </c>
      <c r="P32" s="71">
        <f t="shared" si="6"/>
        <v>0</v>
      </c>
      <c r="Q32" s="71">
        <f t="shared" si="6"/>
        <v>0</v>
      </c>
      <c r="R32" s="71">
        <f t="shared" si="6"/>
        <v>0</v>
      </c>
      <c r="S32" s="71">
        <f t="shared" si="6"/>
        <v>442413.7326333333</v>
      </c>
      <c r="T32" s="72" t="s">
        <v>101</v>
      </c>
      <c r="U32" s="71">
        <f>SUM(U11:U31)</f>
        <v>315450.88799436664</v>
      </c>
      <c r="V32" s="71">
        <f>SUM(V11:V31)</f>
        <v>143351.946</v>
      </c>
      <c r="W32" s="71">
        <f>SUM(W11:W31)</f>
        <v>172098.9419943667</v>
      </c>
      <c r="Z32" s="279">
        <f>SUM(M32:R32)-S32</f>
        <v>0</v>
      </c>
    </row>
    <row r="33" spans="1:26">
      <c r="A33" s="57"/>
      <c r="B33" s="59" t="s">
        <v>102</v>
      </c>
      <c r="C33" s="65"/>
      <c r="D33" s="65"/>
      <c r="E33" s="65"/>
      <c r="F33" s="66"/>
      <c r="G33" s="56"/>
      <c r="H33" s="56"/>
      <c r="I33" s="56"/>
      <c r="J33" s="56"/>
      <c r="K33" s="56"/>
      <c r="L33" s="56"/>
      <c r="M33" s="73" t="str">
        <f>IF(SUM(G32:L32)=M32,"CF","ERROR CF")</f>
        <v>CF</v>
      </c>
      <c r="N33" s="56"/>
      <c r="O33" s="56"/>
      <c r="P33" s="56"/>
      <c r="Q33" s="56"/>
      <c r="R33" s="56"/>
      <c r="S33" s="73" t="str">
        <f>IF(SUM(M32:R32)=S32,"CF","ERROR CF")</f>
        <v>CF</v>
      </c>
      <c r="T33" s="56"/>
      <c r="U33" s="56"/>
      <c r="V33" s="56"/>
      <c r="W33" s="64"/>
      <c r="Z33" s="279"/>
    </row>
    <row r="34" spans="1:26">
      <c r="A34" s="323" t="s">
        <v>103</v>
      </c>
      <c r="B34" s="323"/>
      <c r="C34" s="323"/>
      <c r="D34" s="323"/>
      <c r="E34" s="323"/>
      <c r="F34" s="66"/>
      <c r="G34" s="56"/>
      <c r="H34" s="56"/>
      <c r="I34" s="56"/>
      <c r="J34" s="56"/>
      <c r="K34" s="56"/>
      <c r="L34" s="56"/>
      <c r="M34" s="73"/>
      <c r="N34" s="56"/>
      <c r="O34" s="56"/>
      <c r="P34" s="56"/>
      <c r="Q34" s="56"/>
      <c r="R34" s="56"/>
      <c r="S34" s="73"/>
      <c r="T34" s="56"/>
      <c r="U34" s="56"/>
      <c r="V34" s="56"/>
      <c r="W34" s="64"/>
      <c r="Z34" s="279"/>
    </row>
    <row r="35" spans="1:26" ht="15">
      <c r="A35" s="74" t="s">
        <v>104</v>
      </c>
      <c r="B35" s="75" t="str">
        <f>IF(ISNA(VLOOKUP($A35,'[2]Coding (Do not delete)'!$A$7:$K$656,3,FALSE))=TRUE,0,VLOOKUP($A35,'[2]Coding (Do not delete)'!$A$7:$K$656,8,FALSE))</f>
        <v>JE#  T145  AFUDC (AFUDC 1)</v>
      </c>
      <c r="C35" s="54">
        <f>IF(ISNA(VLOOKUP($A35,'[2]Coding (Do not delete)'!$A$7:$K$656,5,FALSE))=TRUE,0,VLOOKUP($A35,'[2]Coding (Do not delete)'!$A$7:$K$656,5,FALSE))</f>
        <v>101000</v>
      </c>
      <c r="D35" s="54" t="s">
        <v>93</v>
      </c>
      <c r="E35" s="54" t="s">
        <v>90</v>
      </c>
      <c r="F35" s="66" t="s">
        <v>105</v>
      </c>
      <c r="G35" s="61">
        <v>-8117065.5788688948</v>
      </c>
      <c r="H35" s="56">
        <v>1287968.6200000001</v>
      </c>
      <c r="I35" s="56"/>
      <c r="J35" s="56">
        <v>0</v>
      </c>
      <c r="K35" s="56">
        <v>0</v>
      </c>
      <c r="L35" s="56">
        <v>0</v>
      </c>
      <c r="M35" s="61">
        <f t="shared" ref="M35:M98" si="7">SUM(G35:L35)</f>
        <v>-6829096.9588688947</v>
      </c>
      <c r="N35" s="56">
        <f>IF(ISNA(VLOOKUP($B35,'[2]Current Provision - HYP'!$A$10:$BQ$201,$E$5,FALSE))=TRUE,0,VLOOKUP($B35,'[2]Current Provision - HYP'!$A$10:$BQ$201,$E$5,FALSE))</f>
        <v>-2997821.67</v>
      </c>
      <c r="O35" s="56">
        <v>0</v>
      </c>
      <c r="P35" s="58">
        <v>0</v>
      </c>
      <c r="Q35" s="58">
        <v>0</v>
      </c>
      <c r="R35" s="58">
        <v>0</v>
      </c>
      <c r="S35" s="61">
        <f t="shared" ref="S35:S98" si="8">SUM(M35:R35)</f>
        <v>-9826918.6288688947</v>
      </c>
      <c r="T35" s="56"/>
      <c r="U35" s="63">
        <f t="shared" ref="U35:U98" si="9">IF(S35&gt;0,S35*$G$308,0)</f>
        <v>0</v>
      </c>
      <c r="V35" s="56">
        <f t="shared" ref="V35:V98" si="10">IF(S35&lt;0,-S35*$G$308,0)</f>
        <v>3822671.3466299996</v>
      </c>
      <c r="W35" s="64">
        <f t="shared" ref="W35:W98" si="11">U35-V35</f>
        <v>-3822671.3466299996</v>
      </c>
      <c r="X35" s="76"/>
      <c r="Y35" s="77"/>
      <c r="Z35" s="280">
        <f t="shared" ref="Z35:Z98" si="12">SUM(M35:R35)-S35</f>
        <v>0</v>
      </c>
    </row>
    <row r="36" spans="1:26" ht="15">
      <c r="A36" s="74" t="s">
        <v>106</v>
      </c>
      <c r="B36" s="75" t="str">
        <f>IF(ISNA(VLOOKUP($A36,'[2]Coding (Do not delete)'!$A$7:$K$656,3,FALSE))=TRUE,0,VLOOKUP($A36,'[2]Coding (Do not delete)'!$A$7:$K$656,8,FALSE))</f>
        <v>JE#  T151  Amortization of Post In-Service AFUDC (P AFUDC 2)</v>
      </c>
      <c r="C36" s="54">
        <f>IF(ISNA(VLOOKUP($A36,'[2]Coding (Do not delete)'!$A$7:$K$656,5,FALSE))=TRUE,0,VLOOKUP($A36,'[2]Coding (Do not delete)'!$A$7:$K$656,5,FALSE))</f>
        <v>101000</v>
      </c>
      <c r="D36" s="54" t="s">
        <v>93</v>
      </c>
      <c r="E36" s="54" t="s">
        <v>107</v>
      </c>
      <c r="F36" s="79"/>
      <c r="G36" s="61">
        <v>0</v>
      </c>
      <c r="H36" s="56">
        <v>0</v>
      </c>
      <c r="I36" s="56"/>
      <c r="J36" s="56">
        <v>0</v>
      </c>
      <c r="K36" s="56">
        <v>0</v>
      </c>
      <c r="L36" s="56">
        <v>0</v>
      </c>
      <c r="M36" s="61">
        <f t="shared" si="7"/>
        <v>0</v>
      </c>
      <c r="N36" s="56">
        <f>IF(ISNA(VLOOKUP($B36,'[2]Current Provision - HYP'!$A$10:$BQ$201,$E$5,FALSE))=TRUE,0,VLOOKUP($B36,'[2]Current Provision - HYP'!$A$10:$BQ$201,$E$5,FALSE))</f>
        <v>0</v>
      </c>
      <c r="O36" s="56">
        <v>0</v>
      </c>
      <c r="P36" s="58">
        <v>0</v>
      </c>
      <c r="Q36" s="58">
        <v>0</v>
      </c>
      <c r="R36" s="58">
        <v>0</v>
      </c>
      <c r="S36" s="61">
        <f t="shared" si="8"/>
        <v>0</v>
      </c>
      <c r="T36" s="56"/>
      <c r="U36" s="63">
        <f t="shared" si="9"/>
        <v>0</v>
      </c>
      <c r="V36" s="56">
        <f t="shared" si="10"/>
        <v>0</v>
      </c>
      <c r="W36" s="64">
        <f t="shared" si="11"/>
        <v>0</v>
      </c>
      <c r="X36" s="77"/>
      <c r="Y36" s="77"/>
      <c r="Z36" s="280">
        <f t="shared" si="12"/>
        <v>0</v>
      </c>
    </row>
    <row r="37" spans="1:26" ht="15">
      <c r="A37" s="74" t="s">
        <v>108</v>
      </c>
      <c r="B37" s="75" t="str">
        <f>IF(ISNA(VLOOKUP($A37,'[2]Coding (Do not delete)'!$A$7:$K$656,3,FALSE))=TRUE,0,VLOOKUP($A37,'[2]Coding (Do not delete)'!$A$7:$K$656,8,FALSE))</f>
        <v>JE#  ZZ01  Def Hist - Plant a/c 101000</v>
      </c>
      <c r="C37" s="54">
        <f>IF(ISNA(VLOOKUP($A37,'[2]Coding (Do not delete)'!$A$7:$K$656,5,FALSE))=TRUE,0,VLOOKUP($A37,'[2]Coding (Do not delete)'!$A$7:$K$656,5,FALSE))</f>
        <v>101000</v>
      </c>
      <c r="D37" s="54" t="s">
        <v>93</v>
      </c>
      <c r="E37" s="54" t="s">
        <v>90</v>
      </c>
      <c r="F37" s="79"/>
      <c r="G37" s="61">
        <v>-69807971.079999745</v>
      </c>
      <c r="H37" s="56">
        <v>0</v>
      </c>
      <c r="I37" s="56"/>
      <c r="J37" s="58">
        <v>-2203334</v>
      </c>
      <c r="K37" s="56">
        <v>0</v>
      </c>
      <c r="L37" s="56">
        <v>0</v>
      </c>
      <c r="M37" s="61">
        <f t="shared" si="7"/>
        <v>-72011305.079999745</v>
      </c>
      <c r="N37" s="56">
        <f>IF(ISNA(VLOOKUP($B37,'[2]Current Provision - HYP'!$A$10:$BQ$201,$E$5,FALSE))=TRUE,0,VLOOKUP($B37,'[2]Current Provision - HYP'!$A$10:$BQ$201,$E$5,FALSE))</f>
        <v>0</v>
      </c>
      <c r="O37" s="56">
        <v>0</v>
      </c>
      <c r="P37" s="58">
        <v>0</v>
      </c>
      <c r="Q37" s="58">
        <v>0</v>
      </c>
      <c r="R37" s="58">
        <v>0</v>
      </c>
      <c r="S37" s="61">
        <f t="shared" si="8"/>
        <v>-72011305.079999745</v>
      </c>
      <c r="T37" s="56"/>
      <c r="U37" s="63">
        <f t="shared" si="9"/>
        <v>0</v>
      </c>
      <c r="V37" s="56">
        <f t="shared" si="10"/>
        <v>28012397.676119898</v>
      </c>
      <c r="W37" s="64">
        <f t="shared" si="11"/>
        <v>-28012397.676119898</v>
      </c>
      <c r="X37" s="77"/>
      <c r="Y37" s="77"/>
      <c r="Z37" s="280">
        <f t="shared" si="12"/>
        <v>0</v>
      </c>
    </row>
    <row r="38" spans="1:26">
      <c r="A38" s="74" t="s">
        <v>109</v>
      </c>
      <c r="B38" s="75" t="str">
        <f>IF(ISNA(VLOOKUP($A38,'[2]Coding (Do not delete)'!$A$7:$K$656,3,FALSE))=TRUE,0,VLOOKUP($A38,'[2]Coding (Do not delete)'!$A$7:$K$656,8,FALSE))</f>
        <v>JE#  T047  Reg Asset - AFUDC Debt in Plant (Depr 3)</v>
      </c>
      <c r="C38" s="65">
        <f>IF(ISNA(VLOOKUP($A38,'[2]Coding (Do not delete)'!$A$7:$K$656,5,FALSE))=TRUE,0,VLOOKUP($A38,'[2]Coding (Do not delete)'!$A$7:$K$656,5,FALSE))</f>
        <v>101100</v>
      </c>
      <c r="D38" s="65" t="s">
        <v>93</v>
      </c>
      <c r="E38" s="65" t="s">
        <v>90</v>
      </c>
      <c r="F38" s="79"/>
      <c r="G38" s="61">
        <v>-273653</v>
      </c>
      <c r="H38" s="56">
        <v>0</v>
      </c>
      <c r="I38" s="56"/>
      <c r="J38" s="56">
        <v>0</v>
      </c>
      <c r="K38" s="56">
        <v>0</v>
      </c>
      <c r="L38" s="56">
        <v>0</v>
      </c>
      <c r="M38" s="61">
        <f t="shared" si="7"/>
        <v>-273653</v>
      </c>
      <c r="N38" s="56">
        <f>IF(ISNA(VLOOKUP($B38,'[2]Current Provision - HYP'!$A$10:$BQ$201,$E$5,FALSE))=TRUE,0,VLOOKUP($B38,'[2]Current Provision - HYP'!$A$10:$BQ$201,$E$5,FALSE))</f>
        <v>0</v>
      </c>
      <c r="O38" s="56">
        <v>0</v>
      </c>
      <c r="P38" s="58">
        <v>0</v>
      </c>
      <c r="Q38" s="58">
        <v>0</v>
      </c>
      <c r="R38" s="58">
        <v>0</v>
      </c>
      <c r="S38" s="61">
        <f t="shared" si="8"/>
        <v>-273653</v>
      </c>
      <c r="T38" s="56"/>
      <c r="U38" s="63">
        <f t="shared" si="9"/>
        <v>0</v>
      </c>
      <c r="V38" s="56">
        <f t="shared" si="10"/>
        <v>106451.01699999999</v>
      </c>
      <c r="W38" s="64">
        <f t="shared" si="11"/>
        <v>-106451.01699999999</v>
      </c>
      <c r="Z38" s="279">
        <f t="shared" si="12"/>
        <v>0</v>
      </c>
    </row>
    <row r="39" spans="1:26">
      <c r="A39" s="74" t="s">
        <v>110</v>
      </c>
      <c r="B39" s="75" t="str">
        <f>IF(ISNA(VLOOKUP($A39,'[2]Coding (Do not delete)'!$A$7:$K$656,3,FALSE))=TRUE,0,VLOOKUP($A39,'[2]Coding (Do not delete)'!$A$7:$K$656,8,FALSE))</f>
        <v>JE#  ZZ02  Def Hist - Land a/c 101303</v>
      </c>
      <c r="C39" s="54">
        <f>IF(ISNA(VLOOKUP($A39,'[2]Coding (Do not delete)'!$A$7:$K$656,5,FALSE))=TRUE,0,VLOOKUP($A39,'[2]Coding (Do not delete)'!$A$7:$K$656,5,FALSE))</f>
        <v>101303</v>
      </c>
      <c r="D39" s="54" t="s">
        <v>76</v>
      </c>
      <c r="E39" s="54" t="s">
        <v>90</v>
      </c>
      <c r="F39" s="79"/>
      <c r="G39" s="61">
        <v>0</v>
      </c>
      <c r="H39" s="56">
        <v>0</v>
      </c>
      <c r="I39" s="56"/>
      <c r="J39" s="56">
        <v>0</v>
      </c>
      <c r="K39" s="56">
        <v>0</v>
      </c>
      <c r="L39" s="56">
        <v>0</v>
      </c>
      <c r="M39" s="61">
        <f t="shared" si="7"/>
        <v>0</v>
      </c>
      <c r="N39" s="56">
        <f>IF(ISNA(VLOOKUP($B39,'[2]Current Provision - HYP'!$A$10:$BQ$201,$E$5,FALSE))=TRUE,0,VLOOKUP($B39,'[2]Current Provision - HYP'!$A$10:$BQ$201,$E$5,FALSE))</f>
        <v>0</v>
      </c>
      <c r="O39" s="56">
        <v>0</v>
      </c>
      <c r="P39" s="58">
        <v>0</v>
      </c>
      <c r="Q39" s="58">
        <v>0</v>
      </c>
      <c r="R39" s="58">
        <v>0</v>
      </c>
      <c r="S39" s="61">
        <f t="shared" si="8"/>
        <v>0</v>
      </c>
      <c r="T39" s="56"/>
      <c r="U39" s="63">
        <f t="shared" si="9"/>
        <v>0</v>
      </c>
      <c r="V39" s="56">
        <f t="shared" si="10"/>
        <v>0</v>
      </c>
      <c r="W39" s="64">
        <f t="shared" si="11"/>
        <v>0</v>
      </c>
      <c r="X39" s="80"/>
      <c r="Y39" s="80"/>
      <c r="Z39" s="281">
        <f t="shared" si="12"/>
        <v>0</v>
      </c>
    </row>
    <row r="40" spans="1:26">
      <c r="A40" s="74" t="s">
        <v>111</v>
      </c>
      <c r="B40" s="75" t="str">
        <f>IF(ISNA(VLOOKUP($A40,'[2]Coding (Do not delete)'!$A$7:$K$656,3,FALSE))=TRUE,0,VLOOKUP($A40,'[2]Coding (Do not delete)'!$A$7:$K$656,8,FALSE))</f>
        <v>JE#  ZZ03  Def Hist - Prop. Held Future Use a/c 103000</v>
      </c>
      <c r="C40" s="54">
        <f>IF(ISNA(VLOOKUP($A40,'[2]Coding (Do not delete)'!$A$7:$K$656,5,FALSE))=TRUE,0,VLOOKUP($A40,'[2]Coding (Do not delete)'!$A$7:$K$656,5,FALSE))</f>
        <v>103000</v>
      </c>
      <c r="D40" s="54" t="s">
        <v>76</v>
      </c>
      <c r="E40" s="54" t="s">
        <v>90</v>
      </c>
      <c r="F40" s="79"/>
      <c r="G40" s="61">
        <v>0</v>
      </c>
      <c r="H40" s="56">
        <v>0</v>
      </c>
      <c r="I40" s="56"/>
      <c r="J40" s="56">
        <v>0</v>
      </c>
      <c r="K40" s="56">
        <v>0</v>
      </c>
      <c r="L40" s="56">
        <v>0</v>
      </c>
      <c r="M40" s="61">
        <f t="shared" si="7"/>
        <v>0</v>
      </c>
      <c r="N40" s="56">
        <f>IF(ISNA(VLOOKUP($B40,'[2]Current Provision - HYP'!$A$10:$BQ$201,$E$5,FALSE))=TRUE,0,VLOOKUP($B40,'[2]Current Provision - HYP'!$A$10:$BQ$201,$E$5,FALSE))</f>
        <v>0</v>
      </c>
      <c r="O40" s="56">
        <v>0</v>
      </c>
      <c r="P40" s="58">
        <v>0</v>
      </c>
      <c r="Q40" s="58">
        <v>0</v>
      </c>
      <c r="R40" s="58">
        <v>0</v>
      </c>
      <c r="S40" s="61">
        <f t="shared" si="8"/>
        <v>0</v>
      </c>
      <c r="T40" s="56"/>
      <c r="U40" s="63">
        <f t="shared" si="9"/>
        <v>0</v>
      </c>
      <c r="V40" s="56">
        <f t="shared" si="10"/>
        <v>0</v>
      </c>
      <c r="W40" s="64">
        <f t="shared" si="11"/>
        <v>0</v>
      </c>
      <c r="X40" s="56"/>
      <c r="Y40" s="82"/>
      <c r="Z40" s="282">
        <f t="shared" si="12"/>
        <v>0</v>
      </c>
    </row>
    <row r="41" spans="1:26">
      <c r="A41" s="74" t="s">
        <v>112</v>
      </c>
      <c r="B41" s="75" t="str">
        <f>IF(ISNA(VLOOKUP($A41,'[2]Coding (Do not delete)'!$A$7:$K$656,3,FALSE))=TRUE,0,VLOOKUP($A41,'[2]Coding (Do not delete)'!$A$7:$K$656,8,FALSE))</f>
        <v>JE#  T045  Depreciation and Amortization (Depr 1)</v>
      </c>
      <c r="C41" s="65">
        <f>IF(ISNA(VLOOKUP($A41,'[2]Coding (Do not delete)'!$A$7:$K$656,5,FALSE))=TRUE,0,VLOOKUP($A41,'[2]Coding (Do not delete)'!$A$7:$K$656,5,FALSE))</f>
        <v>108000</v>
      </c>
      <c r="D41" s="65" t="s">
        <v>93</v>
      </c>
      <c r="E41" s="65" t="s">
        <v>113</v>
      </c>
      <c r="F41" s="79"/>
      <c r="G41" s="61">
        <v>112957497.43960473</v>
      </c>
      <c r="H41" s="56">
        <v>4470789.6795952842</v>
      </c>
      <c r="I41" s="56"/>
      <c r="J41" s="56">
        <v>-1913024</v>
      </c>
      <c r="K41" s="56">
        <v>0</v>
      </c>
      <c r="L41" s="56">
        <v>0</v>
      </c>
      <c r="M41" s="61">
        <f t="shared" si="7"/>
        <v>115515263.11920002</v>
      </c>
      <c r="N41" s="56">
        <f>IF(ISNA(VLOOKUP($B41,'[2]Current Provision - HYP'!$A$10:$BQ$201,$E$5,FALSE))=TRUE,0,VLOOKUP($B41,'[2]Current Provision - HYP'!$A$10:$BQ$201,$E$5,FALSE))</f>
        <v>-118537455.67582993</v>
      </c>
      <c r="O41" s="56">
        <v>0</v>
      </c>
      <c r="P41" s="58">
        <v>0</v>
      </c>
      <c r="Q41" s="58">
        <v>0</v>
      </c>
      <c r="R41" s="58">
        <v>0</v>
      </c>
      <c r="S41" s="61">
        <f t="shared" si="8"/>
        <v>-3022192.5566299111</v>
      </c>
      <c r="T41" s="56"/>
      <c r="U41" s="63">
        <f t="shared" si="9"/>
        <v>0</v>
      </c>
      <c r="V41" s="56">
        <f t="shared" si="10"/>
        <v>1175632.9045290353</v>
      </c>
      <c r="W41" s="64">
        <f t="shared" si="11"/>
        <v>-1175632.9045290353</v>
      </c>
      <c r="Z41" s="279">
        <f t="shared" si="12"/>
        <v>0</v>
      </c>
    </row>
    <row r="42" spans="1:26">
      <c r="A42" s="74" t="s">
        <v>114</v>
      </c>
      <c r="B42" s="75" t="str">
        <f>IF(ISNA(VLOOKUP($A42,'[2]Coding (Do not delete)'!$A$7:$K$656,3,FALSE))=TRUE,0,VLOOKUP($A42,'[2]Coding (Do not delete)'!$A$7:$K$656,8,FALSE))</f>
        <v>JE#  T049  Goodwill Amortization</v>
      </c>
      <c r="C42" s="65">
        <f>IF(ISNA(VLOOKUP($A42,'[2]Coding (Do not delete)'!$A$7:$K$656,5,FALSE))=TRUE,0,VLOOKUP($A42,'[2]Coding (Do not delete)'!$A$7:$K$656,5,FALSE))</f>
        <v>108000</v>
      </c>
      <c r="D42" s="65" t="s">
        <v>93</v>
      </c>
      <c r="E42" s="65" t="s">
        <v>113</v>
      </c>
      <c r="F42" s="79"/>
      <c r="G42" s="61">
        <v>0</v>
      </c>
      <c r="H42" s="56">
        <v>0</v>
      </c>
      <c r="I42" s="56"/>
      <c r="J42" s="56">
        <v>0</v>
      </c>
      <c r="K42" s="56">
        <v>0</v>
      </c>
      <c r="L42" s="56">
        <v>0</v>
      </c>
      <c r="M42" s="61">
        <f t="shared" si="7"/>
        <v>0</v>
      </c>
      <c r="N42" s="56">
        <f>IF(ISNA(VLOOKUP($B42,'[2]Current Provision - HYP'!$A$10:$BQ$201,$E$5,FALSE))=TRUE,0,VLOOKUP($B42,'[2]Current Provision - HYP'!$A$10:$BQ$201,$E$5,FALSE))</f>
        <v>0</v>
      </c>
      <c r="O42" s="56">
        <v>0</v>
      </c>
      <c r="P42" s="58">
        <v>0</v>
      </c>
      <c r="Q42" s="58">
        <v>0</v>
      </c>
      <c r="R42" s="58">
        <v>0</v>
      </c>
      <c r="S42" s="61">
        <f t="shared" si="8"/>
        <v>0</v>
      </c>
      <c r="T42" s="56"/>
      <c r="U42" s="63">
        <f t="shared" si="9"/>
        <v>0</v>
      </c>
      <c r="V42" s="56">
        <f t="shared" si="10"/>
        <v>0</v>
      </c>
      <c r="W42" s="64">
        <f t="shared" si="11"/>
        <v>0</v>
      </c>
      <c r="Z42" s="279">
        <f t="shared" si="12"/>
        <v>0</v>
      </c>
    </row>
    <row r="43" spans="1:26">
      <c r="A43" s="74" t="s">
        <v>115</v>
      </c>
      <c r="B43" s="75" t="str">
        <f>IF(ISNA(VLOOKUP($A43,'[2]Coding (Do not delete)'!$A$7:$K$656,3,FALSE))=TRUE,0,VLOOKUP($A43,'[2]Coding (Do not delete)'!$A$7:$K$656,8,FALSE))</f>
        <v>JE#  T060  Gains and Losses (Disp 1)</v>
      </c>
      <c r="C43" s="65">
        <f>IF(ISNA(VLOOKUP($A43,'[2]Coding (Do not delete)'!$A$7:$K$656,5,FALSE))=TRUE,0,VLOOKUP($A43,'[2]Coding (Do not delete)'!$A$7:$K$656,5,FALSE))</f>
        <v>108000</v>
      </c>
      <c r="D43" s="65" t="s">
        <v>93</v>
      </c>
      <c r="E43" s="65" t="s">
        <v>113</v>
      </c>
      <c r="F43" s="79"/>
      <c r="G43" s="61">
        <v>-4659</v>
      </c>
      <c r="H43" s="56">
        <v>0</v>
      </c>
      <c r="I43" s="56"/>
      <c r="J43" s="56">
        <v>0</v>
      </c>
      <c r="K43" s="56">
        <v>0</v>
      </c>
      <c r="L43" s="56">
        <v>0</v>
      </c>
      <c r="M43" s="61">
        <f t="shared" si="7"/>
        <v>-4659</v>
      </c>
      <c r="N43" s="56">
        <f>IF(ISNA(VLOOKUP($B43,'[2]Current Provision - HYP'!$A$10:$BQ$201,$E$5,FALSE))=TRUE,0,VLOOKUP($B43,'[2]Current Provision - HYP'!$A$10:$BQ$201,$E$5,FALSE))</f>
        <v>0</v>
      </c>
      <c r="O43" s="56">
        <v>0</v>
      </c>
      <c r="P43" s="58">
        <v>0</v>
      </c>
      <c r="Q43" s="58">
        <v>0</v>
      </c>
      <c r="R43" s="58">
        <v>0</v>
      </c>
      <c r="S43" s="61">
        <f t="shared" si="8"/>
        <v>-4659</v>
      </c>
      <c r="T43" s="56"/>
      <c r="U43" s="63">
        <f t="shared" si="9"/>
        <v>0</v>
      </c>
      <c r="V43" s="56">
        <f t="shared" si="10"/>
        <v>1812.3509999999999</v>
      </c>
      <c r="W43" s="64">
        <f t="shared" si="11"/>
        <v>-1812.3509999999999</v>
      </c>
      <c r="Z43" s="279">
        <f t="shared" si="12"/>
        <v>0</v>
      </c>
    </row>
    <row r="44" spans="1:26">
      <c r="A44" s="74" t="s">
        <v>116</v>
      </c>
      <c r="B44" s="75" t="str">
        <f>IF(ISNA(VLOOKUP($A44,'[2]Coding (Do not delete)'!$A$7:$K$656,3,FALSE))=TRUE,0,VLOOKUP($A44,'[2]Coding (Do not delete)'!$A$7:$K$656,8,FALSE))</f>
        <v>JE#  T062  Abandonment Losses (Disp 3)</v>
      </c>
      <c r="C44" s="65">
        <f>IF(ISNA(VLOOKUP($A44,'[2]Coding (Do not delete)'!$A$7:$K$656,5,FALSE))=TRUE,0,VLOOKUP($A44,'[2]Coding (Do not delete)'!$A$7:$K$656,5,FALSE))</f>
        <v>108000</v>
      </c>
      <c r="D44" s="65" t="s">
        <v>93</v>
      </c>
      <c r="E44" s="65" t="s">
        <v>113</v>
      </c>
      <c r="F44" s="79"/>
      <c r="G44" s="61">
        <v>-826325.98316039995</v>
      </c>
      <c r="H44" s="56">
        <v>-91206.118367600095</v>
      </c>
      <c r="I44" s="56"/>
      <c r="J44" s="56">
        <v>0</v>
      </c>
      <c r="K44" s="56">
        <v>0</v>
      </c>
      <c r="L44" s="56">
        <v>0</v>
      </c>
      <c r="M44" s="61">
        <f t="shared" si="7"/>
        <v>-917532.10152800009</v>
      </c>
      <c r="N44" s="56">
        <f>IF(ISNA(VLOOKUP($B44,'[2]Current Provision - HYP'!$A$10:$BQ$201,$E$5,FALSE))=TRUE,0,VLOOKUP($B44,'[2]Current Provision - HYP'!$A$10:$BQ$201,$E$5,FALSE))</f>
        <v>-142705.53825200006</v>
      </c>
      <c r="O44" s="56">
        <v>0</v>
      </c>
      <c r="P44" s="58">
        <v>0</v>
      </c>
      <c r="Q44" s="58">
        <v>0</v>
      </c>
      <c r="R44" s="58">
        <v>0</v>
      </c>
      <c r="S44" s="61">
        <f t="shared" si="8"/>
        <v>-1060237.6397800001</v>
      </c>
      <c r="T44" s="56"/>
      <c r="U44" s="63">
        <f t="shared" si="9"/>
        <v>0</v>
      </c>
      <c r="V44" s="56">
        <f t="shared" si="10"/>
        <v>412432.44187441998</v>
      </c>
      <c r="W44" s="64">
        <f t="shared" si="11"/>
        <v>-412432.44187441998</v>
      </c>
      <c r="Z44" s="279">
        <f t="shared" si="12"/>
        <v>0</v>
      </c>
    </row>
    <row r="45" spans="1:26">
      <c r="A45" s="74" t="s">
        <v>117</v>
      </c>
      <c r="B45" s="75" t="str">
        <f>IF(ISNA(VLOOKUP($A45,'[2]Coding (Do not delete)'!$A$7:$K$656,3,FALSE))=TRUE,0,VLOOKUP($A45,'[2]Coding (Do not delete)'!$A$7:$K$656,8,FALSE))</f>
        <v>JE#  T063  Cost of Removal (Disp 4)</v>
      </c>
      <c r="C45" s="65">
        <f>IF(ISNA(VLOOKUP($A45,'[2]Coding (Do not delete)'!$A$7:$K$656,5,FALSE))=TRUE,0,VLOOKUP($A45,'[2]Coding (Do not delete)'!$A$7:$K$656,5,FALSE))</f>
        <v>108000</v>
      </c>
      <c r="D45" s="65" t="s">
        <v>93</v>
      </c>
      <c r="E45" s="65" t="s">
        <v>118</v>
      </c>
      <c r="F45" s="79"/>
      <c r="G45" s="61">
        <v>8652035</v>
      </c>
      <c r="H45" s="56">
        <v>0</v>
      </c>
      <c r="I45" s="56"/>
      <c r="J45" s="56">
        <v>0</v>
      </c>
      <c r="K45" s="56">
        <v>0</v>
      </c>
      <c r="L45" s="56">
        <v>0</v>
      </c>
      <c r="M45" s="61">
        <f t="shared" si="7"/>
        <v>8652035</v>
      </c>
      <c r="N45" s="56">
        <f>IF(ISNA(VLOOKUP($B45,'[2]Current Provision - HYP'!$A$10:$BQ$201,$E$5,FALSE))=TRUE,0,VLOOKUP($B45,'[2]Current Provision - HYP'!$A$10:$BQ$201,$E$5,FALSE))</f>
        <v>1460024</v>
      </c>
      <c r="O45" s="56">
        <v>0</v>
      </c>
      <c r="P45" s="58">
        <v>0</v>
      </c>
      <c r="Q45" s="58">
        <v>0</v>
      </c>
      <c r="R45" s="58">
        <v>0</v>
      </c>
      <c r="S45" s="61">
        <f t="shared" si="8"/>
        <v>10112059</v>
      </c>
      <c r="T45" s="56"/>
      <c r="U45" s="63">
        <f t="shared" si="9"/>
        <v>3933590.9509999994</v>
      </c>
      <c r="V45" s="56">
        <f t="shared" si="10"/>
        <v>0</v>
      </c>
      <c r="W45" s="64">
        <f t="shared" si="11"/>
        <v>3933590.9509999994</v>
      </c>
      <c r="Z45" s="279">
        <f t="shared" si="12"/>
        <v>0</v>
      </c>
    </row>
    <row r="46" spans="1:26">
      <c r="A46" s="74" t="s">
        <v>119</v>
      </c>
      <c r="B46" s="75" t="str">
        <f>IF(ISNA(VLOOKUP($A46,'[2]Coding (Do not delete)'!$A$7:$K$656,3,FALSE))=TRUE,0,VLOOKUP($A46,'[2]Coding (Do not delete)'!$A$7:$K$656,8,FALSE))</f>
        <v>JE#  ZZ04  Def Hist - Depreciation a/c 108000</v>
      </c>
      <c r="C46" s="54">
        <f>IF(ISNA(VLOOKUP($A46,'[2]Coding (Do not delete)'!$A$7:$K$656,5,FALSE))=TRUE,0,VLOOKUP($A46,'[2]Coding (Do not delete)'!$A$7:$K$656,5,FALSE))</f>
        <v>108000</v>
      </c>
      <c r="D46" s="54" t="s">
        <v>93</v>
      </c>
      <c r="E46" s="54" t="s">
        <v>113</v>
      </c>
      <c r="F46" s="79"/>
      <c r="G46" s="61">
        <v>-207037818.41</v>
      </c>
      <c r="H46" s="56">
        <v>0</v>
      </c>
      <c r="I46" s="56"/>
      <c r="J46" s="56">
        <v>0</v>
      </c>
      <c r="K46" s="56">
        <v>0</v>
      </c>
      <c r="L46" s="56">
        <v>0</v>
      </c>
      <c r="M46" s="61">
        <f t="shared" si="7"/>
        <v>-207037818.41</v>
      </c>
      <c r="N46" s="56">
        <f>IF(ISNA(VLOOKUP($B46,'[2]Current Provision - HYP'!$A$10:$BQ$201,$E$5,FALSE))=TRUE,0,VLOOKUP($B46,'[2]Current Provision - HYP'!$A$10:$BQ$201,$E$5,FALSE))</f>
        <v>0</v>
      </c>
      <c r="O46" s="56">
        <v>0</v>
      </c>
      <c r="P46" s="58">
        <v>0</v>
      </c>
      <c r="Q46" s="58">
        <v>0</v>
      </c>
      <c r="R46" s="58">
        <v>0</v>
      </c>
      <c r="S46" s="61">
        <f t="shared" si="8"/>
        <v>-207037818.41</v>
      </c>
      <c r="T46" s="56"/>
      <c r="U46" s="63">
        <f t="shared" si="9"/>
        <v>0</v>
      </c>
      <c r="V46" s="56">
        <f t="shared" si="10"/>
        <v>80537711.361489996</v>
      </c>
      <c r="W46" s="64">
        <f t="shared" si="11"/>
        <v>-80537711.361489996</v>
      </c>
      <c r="X46" s="56"/>
      <c r="Y46" s="56"/>
      <c r="Z46" s="282">
        <f t="shared" si="12"/>
        <v>0</v>
      </c>
    </row>
    <row r="47" spans="1:26">
      <c r="A47" s="74" t="s">
        <v>120</v>
      </c>
      <c r="B47" s="75" t="str">
        <f>IF(ISNA(VLOOKUP($A47,'[2]Coding (Do not delete)'!$A$7:$K$656,3,FALSE))=TRUE,0,VLOOKUP($A47,'[2]Coding (Do not delete)'!$A$7:$K$656,8,FALSE))</f>
        <v>JE#  ZZ07  Def Hist - Nonutility Proprety a/c 121000</v>
      </c>
      <c r="C47" s="54">
        <f>IF(ISNA(VLOOKUP($A47,'[2]Coding (Do not delete)'!$A$7:$K$656,5,FALSE))=TRUE,0,VLOOKUP($A47,'[2]Coding (Do not delete)'!$A$7:$K$656,5,FALSE))</f>
        <v>121000</v>
      </c>
      <c r="D47" s="54" t="s">
        <v>93</v>
      </c>
      <c r="E47" s="54" t="s">
        <v>90</v>
      </c>
      <c r="F47" s="79"/>
      <c r="G47" s="61">
        <v>0</v>
      </c>
      <c r="H47" s="56">
        <v>0</v>
      </c>
      <c r="I47" s="56"/>
      <c r="J47" s="56">
        <v>0</v>
      </c>
      <c r="K47" s="56">
        <v>0</v>
      </c>
      <c r="L47" s="56">
        <v>0</v>
      </c>
      <c r="M47" s="61">
        <f t="shared" si="7"/>
        <v>0</v>
      </c>
      <c r="N47" s="56">
        <f>IF(ISNA(VLOOKUP($B47,'[2]Current Provision - HYP'!$A$10:$BQ$201,$E$5,FALSE))=TRUE,0,VLOOKUP($B47,'[2]Current Provision - HYP'!$A$10:$BQ$201,$E$5,FALSE))</f>
        <v>0</v>
      </c>
      <c r="O47" s="56">
        <v>0</v>
      </c>
      <c r="P47" s="58">
        <v>0</v>
      </c>
      <c r="Q47" s="58">
        <v>0</v>
      </c>
      <c r="R47" s="58">
        <v>0</v>
      </c>
      <c r="S47" s="61">
        <f t="shared" si="8"/>
        <v>0</v>
      </c>
      <c r="T47" s="56"/>
      <c r="U47" s="63">
        <f t="shared" si="9"/>
        <v>0</v>
      </c>
      <c r="V47" s="56">
        <f t="shared" si="10"/>
        <v>0</v>
      </c>
      <c r="W47" s="64">
        <f t="shared" si="11"/>
        <v>0</v>
      </c>
      <c r="X47" s="56"/>
      <c r="Y47" s="56"/>
      <c r="Z47" s="282">
        <f t="shared" si="12"/>
        <v>0</v>
      </c>
    </row>
    <row r="48" spans="1:26">
      <c r="A48" s="74" t="s">
        <v>121</v>
      </c>
      <c r="B48" s="75" t="str">
        <f>IF(ISNA(VLOOKUP($A48,'[2]Coding (Do not delete)'!$A$7:$K$656,3,FALSE))=TRUE,0,VLOOKUP($A48,'[2]Coding (Do not delete)'!$A$7:$K$656,8,FALSE))</f>
        <v>JE#  ZZ08  Def Hist - Acc Depr Nonutility Prop a/c 122000</v>
      </c>
      <c r="C48" s="54">
        <f>IF(ISNA(VLOOKUP($A48,'[2]Coding (Do not delete)'!$A$7:$K$656,5,FALSE))=TRUE,0,VLOOKUP($A48,'[2]Coding (Do not delete)'!$A$7:$K$656,5,FALSE))</f>
        <v>122000</v>
      </c>
      <c r="D48" s="54" t="s">
        <v>93</v>
      </c>
      <c r="E48" s="54" t="s">
        <v>113</v>
      </c>
      <c r="F48" s="79"/>
      <c r="G48" s="61">
        <v>0</v>
      </c>
      <c r="H48" s="56">
        <v>0</v>
      </c>
      <c r="I48" s="56"/>
      <c r="J48" s="56">
        <v>0</v>
      </c>
      <c r="K48" s="56">
        <v>0</v>
      </c>
      <c r="L48" s="56">
        <v>0</v>
      </c>
      <c r="M48" s="61">
        <f t="shared" si="7"/>
        <v>0</v>
      </c>
      <c r="N48" s="56">
        <f>IF(ISNA(VLOOKUP($B48,'[2]Current Provision - HYP'!$A$10:$BQ$201,$E$5,FALSE))=TRUE,0,VLOOKUP($B48,'[2]Current Provision - HYP'!$A$10:$BQ$201,$E$5,FALSE))</f>
        <v>0</v>
      </c>
      <c r="O48" s="56">
        <v>0</v>
      </c>
      <c r="P48" s="58">
        <v>0</v>
      </c>
      <c r="Q48" s="58">
        <v>0</v>
      </c>
      <c r="R48" s="58">
        <v>0</v>
      </c>
      <c r="S48" s="61">
        <f t="shared" si="8"/>
        <v>0</v>
      </c>
      <c r="T48" s="56"/>
      <c r="U48" s="63">
        <f t="shared" si="9"/>
        <v>0</v>
      </c>
      <c r="V48" s="56">
        <f t="shared" si="10"/>
        <v>0</v>
      </c>
      <c r="W48" s="64">
        <f t="shared" si="11"/>
        <v>0</v>
      </c>
      <c r="X48" s="56"/>
      <c r="Y48" s="56"/>
      <c r="Z48" s="282">
        <f t="shared" si="12"/>
        <v>0</v>
      </c>
    </row>
    <row r="49" spans="1:26">
      <c r="A49" s="74" t="s">
        <v>122</v>
      </c>
      <c r="B49" s="75" t="str">
        <f>IF(ISNA(VLOOKUP($A49,'[2]Coding (Do not delete)'!$A$7:$K$656,3,FALSE))=TRUE,0,VLOOKUP($A49,'[2]Coding (Do not delete)'!$A$7:$K$656,8,FALSE))</f>
        <v>JE#  T050  Intangible Indefinite Life</v>
      </c>
      <c r="C49" s="65">
        <f>IF(ISNA(VLOOKUP($A49,'[2]Coding (Do not delete)'!$A$7:$K$656,5,FALSE))=TRUE,0,VLOOKUP($A49,'[2]Coding (Do not delete)'!$A$7:$K$656,5,FALSE))</f>
        <v>123131</v>
      </c>
      <c r="D49" s="65" t="s">
        <v>93</v>
      </c>
      <c r="E49" s="65" t="s">
        <v>123</v>
      </c>
      <c r="F49" s="79"/>
      <c r="G49" s="61">
        <v>94620</v>
      </c>
      <c r="H49" s="56">
        <v>0</v>
      </c>
      <c r="I49" s="56"/>
      <c r="J49" s="56">
        <v>0</v>
      </c>
      <c r="K49" s="56">
        <v>0</v>
      </c>
      <c r="L49" s="56">
        <v>0</v>
      </c>
      <c r="M49" s="61">
        <f t="shared" si="7"/>
        <v>94620</v>
      </c>
      <c r="N49" s="56">
        <f>IF(ISNA(VLOOKUP($B49,'[2]Current Provision - HYP'!$A$10:$BQ$201,$E$5,FALSE))=TRUE,0,VLOOKUP($B49,'[2]Current Provision - HYP'!$A$10:$BQ$201,$E$5,FALSE))</f>
        <v>0</v>
      </c>
      <c r="O49" s="56">
        <v>0</v>
      </c>
      <c r="P49" s="58">
        <v>0</v>
      </c>
      <c r="Q49" s="58">
        <v>0</v>
      </c>
      <c r="R49" s="58">
        <v>0</v>
      </c>
      <c r="S49" s="61">
        <f t="shared" si="8"/>
        <v>94620</v>
      </c>
      <c r="T49" s="56"/>
      <c r="U49" s="63">
        <f t="shared" si="9"/>
        <v>36807.179999999993</v>
      </c>
      <c r="V49" s="56">
        <f t="shared" si="10"/>
        <v>0</v>
      </c>
      <c r="W49" s="64">
        <f t="shared" si="11"/>
        <v>36807.179999999993</v>
      </c>
      <c r="Z49" s="279">
        <f t="shared" si="12"/>
        <v>0</v>
      </c>
    </row>
    <row r="50" spans="1:26">
      <c r="A50" s="74" t="s">
        <v>124</v>
      </c>
      <c r="B50" s="75" t="str">
        <f>IF(ISNA(VLOOKUP($A50,'[2]Coding (Do not delete)'!$A$7:$K$656,3,FALSE))=TRUE,0,VLOOKUP($A50,'[2]Coding (Do not delete)'!$A$7:$K$656,8,FALSE))</f>
        <v>JE#  T048  Reg Asset - AFUDC Debt (Depr 4)</v>
      </c>
      <c r="C50" s="65">
        <f>IF(ISNA(VLOOKUP($A50,'[2]Coding (Do not delete)'!$A$7:$K$656,5,FALSE))=TRUE,0,VLOOKUP($A50,'[2]Coding (Do not delete)'!$A$7:$K$656,5,FALSE))</f>
        <v>108190</v>
      </c>
      <c r="D50" s="65" t="s">
        <v>93</v>
      </c>
      <c r="E50" s="65" t="s">
        <v>113</v>
      </c>
      <c r="F50" s="79"/>
      <c r="G50" s="61">
        <v>117289</v>
      </c>
      <c r="H50" s="56">
        <v>-6900</v>
      </c>
      <c r="I50" s="56"/>
      <c r="J50" s="56">
        <v>0</v>
      </c>
      <c r="K50" s="56">
        <v>0</v>
      </c>
      <c r="L50" s="56">
        <v>0</v>
      </c>
      <c r="M50" s="61">
        <f t="shared" si="7"/>
        <v>110389</v>
      </c>
      <c r="N50" s="56">
        <f>IF(ISNA(VLOOKUP($B50,'[2]Current Provision - HYP'!$A$10:$BQ$201,$E$5,FALSE))=TRUE,0,VLOOKUP($B50,'[2]Current Provision - HYP'!$A$10:$BQ$201,$E$5,FALSE))</f>
        <v>6900</v>
      </c>
      <c r="O50" s="56">
        <v>0</v>
      </c>
      <c r="P50" s="58">
        <v>0</v>
      </c>
      <c r="Q50" s="58">
        <v>0</v>
      </c>
      <c r="R50" s="58">
        <v>0</v>
      </c>
      <c r="S50" s="61">
        <f t="shared" si="8"/>
        <v>117289</v>
      </c>
      <c r="T50" s="56"/>
      <c r="U50" s="63">
        <f t="shared" si="9"/>
        <v>45625.420999999995</v>
      </c>
      <c r="V50" s="56">
        <f t="shared" si="10"/>
        <v>0</v>
      </c>
      <c r="W50" s="64">
        <f t="shared" si="11"/>
        <v>45625.420999999995</v>
      </c>
      <c r="Z50" s="279">
        <f t="shared" si="12"/>
        <v>0</v>
      </c>
    </row>
    <row r="51" spans="1:26">
      <c r="A51" s="74" t="s">
        <v>125</v>
      </c>
      <c r="B51" s="75" t="str">
        <f>IF(ISNA(VLOOKUP($A51,'[2]Coding (Do not delete)'!$A$7:$K$656,3,FALSE))=TRUE,0,VLOOKUP($A51,'[2]Coding (Do not delete)'!$A$7:$K$656,8,FALSE))</f>
        <v>JE#  T075  Depletion</v>
      </c>
      <c r="C51" s="65">
        <f>IF(ISNA(VLOOKUP($A51,'[2]Coding (Do not delete)'!$A$7:$K$656,5,FALSE))=TRUE,0,VLOOKUP($A51,'[2]Coding (Do not delete)'!$A$7:$K$656,5,FALSE))</f>
        <v>108400</v>
      </c>
      <c r="D51" s="65" t="s">
        <v>93</v>
      </c>
      <c r="E51" s="65" t="s">
        <v>126</v>
      </c>
      <c r="F51" s="79"/>
      <c r="G51" s="61">
        <v>0</v>
      </c>
      <c r="H51" s="56">
        <v>0</v>
      </c>
      <c r="I51" s="56"/>
      <c r="J51" s="56">
        <v>0</v>
      </c>
      <c r="K51" s="56">
        <v>0</v>
      </c>
      <c r="L51" s="56">
        <v>0</v>
      </c>
      <c r="M51" s="61">
        <f t="shared" si="7"/>
        <v>0</v>
      </c>
      <c r="N51" s="56">
        <f>IF(ISNA(VLOOKUP($B51,'[2]Current Provision - HYP'!$A$10:$BQ$201,$E$5,FALSE))=TRUE,0,VLOOKUP($B51,'[2]Current Provision - HYP'!$A$10:$BQ$201,$E$5,FALSE))</f>
        <v>0</v>
      </c>
      <c r="O51" s="56">
        <v>0</v>
      </c>
      <c r="P51" s="58">
        <v>0</v>
      </c>
      <c r="Q51" s="58">
        <v>0</v>
      </c>
      <c r="R51" s="58">
        <v>0</v>
      </c>
      <c r="S51" s="61">
        <f t="shared" si="8"/>
        <v>0</v>
      </c>
      <c r="T51" s="56"/>
      <c r="U51" s="63">
        <f t="shared" si="9"/>
        <v>0</v>
      </c>
      <c r="V51" s="56">
        <f t="shared" si="10"/>
        <v>0</v>
      </c>
      <c r="W51" s="64">
        <f t="shared" si="11"/>
        <v>0</v>
      </c>
      <c r="Z51" s="279">
        <f t="shared" si="12"/>
        <v>0</v>
      </c>
    </row>
    <row r="52" spans="1:26">
      <c r="A52" s="74" t="s">
        <v>127</v>
      </c>
      <c r="B52" s="75" t="str">
        <f>IF(ISNA(VLOOKUP($A52,'[2]Coding (Do not delete)'!$A$7:$K$656,3,FALSE))=TRUE,0,VLOOKUP($A52,'[2]Coding (Do not delete)'!$A$7:$K$656,8,FALSE))</f>
        <v>JE#  ZZ05  Def Hist - Amortization a/c 110000</v>
      </c>
      <c r="C52" s="54">
        <f>IF(ISNA(VLOOKUP($A52,'[2]Coding (Do not delete)'!$A$7:$K$656,5,FALSE))=TRUE,0,VLOOKUP($A52,'[2]Coding (Do not delete)'!$A$7:$K$656,5,FALSE))</f>
        <v>110000</v>
      </c>
      <c r="D52" s="54" t="s">
        <v>93</v>
      </c>
      <c r="E52" s="54" t="s">
        <v>90</v>
      </c>
      <c r="F52" s="79"/>
      <c r="G52" s="61">
        <v>0</v>
      </c>
      <c r="H52" s="56">
        <v>0</v>
      </c>
      <c r="I52" s="56"/>
      <c r="J52" s="56">
        <v>0</v>
      </c>
      <c r="K52" s="56">
        <v>0</v>
      </c>
      <c r="L52" s="56">
        <v>0</v>
      </c>
      <c r="M52" s="61">
        <f t="shared" si="7"/>
        <v>0</v>
      </c>
      <c r="N52" s="56">
        <f>IF(ISNA(VLOOKUP($B52,'[2]Current Provision - HYP'!$A$10:$BQ$201,$E$5,FALSE))=TRUE,0,VLOOKUP($B52,'[2]Current Provision - HYP'!$A$10:$BQ$201,$E$5,FALSE))</f>
        <v>0</v>
      </c>
      <c r="O52" s="56">
        <v>0</v>
      </c>
      <c r="P52" s="58">
        <v>0</v>
      </c>
      <c r="Q52" s="58">
        <v>0</v>
      </c>
      <c r="R52" s="58">
        <v>0</v>
      </c>
      <c r="S52" s="61">
        <f t="shared" si="8"/>
        <v>0</v>
      </c>
      <c r="T52" s="56"/>
      <c r="U52" s="63">
        <f t="shared" si="9"/>
        <v>0</v>
      </c>
      <c r="V52" s="56">
        <f t="shared" si="10"/>
        <v>0</v>
      </c>
      <c r="W52" s="64">
        <f t="shared" si="11"/>
        <v>0</v>
      </c>
      <c r="X52" s="282"/>
      <c r="Y52" s="282"/>
      <c r="Z52" s="282">
        <f t="shared" si="12"/>
        <v>0</v>
      </c>
    </row>
    <row r="53" spans="1:26">
      <c r="A53" s="74" t="s">
        <v>128</v>
      </c>
      <c r="B53" s="75" t="str">
        <f>IF(ISNA(VLOOKUP($A53,'[2]Coding (Do not delete)'!$A$7:$K$656,3,FALSE))=TRUE,0,VLOOKUP($A53,'[2]Coding (Do not delete)'!$A$7:$K$656,8,FALSE))</f>
        <v>JE#  T070  Amortization of UPAA</v>
      </c>
      <c r="C53" s="65">
        <f>IF(ISNA(VLOOKUP($A53,'[2]Coding (Do not delete)'!$A$7:$K$656,5,FALSE))=TRUE,0,VLOOKUP($A53,'[2]Coding (Do not delete)'!$A$7:$K$656,5,FALSE))</f>
        <v>114000</v>
      </c>
      <c r="D53" s="65" t="s">
        <v>93</v>
      </c>
      <c r="E53" s="65" t="s">
        <v>123</v>
      </c>
      <c r="F53" s="79"/>
      <c r="G53" s="61">
        <v>-24686.85</v>
      </c>
      <c r="H53" s="56">
        <v>0</v>
      </c>
      <c r="I53" s="56"/>
      <c r="J53" s="56">
        <v>0</v>
      </c>
      <c r="K53" s="56">
        <v>0</v>
      </c>
      <c r="L53" s="56">
        <v>0</v>
      </c>
      <c r="M53" s="61">
        <f t="shared" si="7"/>
        <v>-24686.85</v>
      </c>
      <c r="N53" s="56">
        <f>IF(ISNA(VLOOKUP($B53,'[2]Current Provision - HYP'!$A$10:$BQ$201,$E$5,FALSE))=TRUE,0,VLOOKUP($B53,'[2]Current Provision - HYP'!$A$10:$BQ$201,$E$5,FALSE))</f>
        <v>0</v>
      </c>
      <c r="O53" s="56">
        <v>0</v>
      </c>
      <c r="P53" s="58">
        <v>0</v>
      </c>
      <c r="Q53" s="58">
        <v>0</v>
      </c>
      <c r="R53" s="58">
        <v>0</v>
      </c>
      <c r="S53" s="61">
        <f t="shared" si="8"/>
        <v>-24686.85</v>
      </c>
      <c r="T53" s="56"/>
      <c r="U53" s="63">
        <f t="shared" si="9"/>
        <v>0</v>
      </c>
      <c r="V53" s="56">
        <f t="shared" si="10"/>
        <v>9603.1846499999992</v>
      </c>
      <c r="W53" s="64">
        <f t="shared" si="11"/>
        <v>-9603.1846499999992</v>
      </c>
      <c r="Z53" s="279">
        <f t="shared" si="12"/>
        <v>0</v>
      </c>
    </row>
    <row r="54" spans="1:26">
      <c r="A54" s="74" t="s">
        <v>129</v>
      </c>
      <c r="B54" s="75" t="str">
        <f>IF(ISNA(VLOOKUP($A54,'[2]Coding (Do not delete)'!$A$7:$K$656,3,FALSE))=TRUE,0,VLOOKUP($A54,'[2]Coding (Do not delete)'!$A$7:$K$656,8,FALSE))</f>
        <v>JE#  ZZ06  Def Hist - Amort UPAA a/c 114000</v>
      </c>
      <c r="C54" s="54">
        <f>IF(ISNA(VLOOKUP($A54,'[2]Coding (Do not delete)'!$A$7:$K$656,5,FALSE))=TRUE,0,VLOOKUP($A54,'[2]Coding (Do not delete)'!$A$7:$K$656,5,FALSE))</f>
        <v>114000</v>
      </c>
      <c r="D54" s="54" t="s">
        <v>93</v>
      </c>
      <c r="E54" s="54" t="s">
        <v>123</v>
      </c>
      <c r="F54" s="79"/>
      <c r="G54" s="61">
        <v>0</v>
      </c>
      <c r="H54" s="56">
        <v>0</v>
      </c>
      <c r="I54" s="56"/>
      <c r="J54" s="56">
        <v>0</v>
      </c>
      <c r="K54" s="56">
        <v>0</v>
      </c>
      <c r="L54" s="56">
        <v>0</v>
      </c>
      <c r="M54" s="61">
        <f t="shared" si="7"/>
        <v>0</v>
      </c>
      <c r="N54" s="56">
        <f>IF(ISNA(VLOOKUP($B54,'[2]Current Provision - HYP'!$A$10:$BQ$201,$E$5,FALSE))=TRUE,0,VLOOKUP($B54,'[2]Current Provision - HYP'!$A$10:$BQ$201,$E$5,FALSE))</f>
        <v>0</v>
      </c>
      <c r="O54" s="56">
        <v>0</v>
      </c>
      <c r="P54" s="58">
        <v>0</v>
      </c>
      <c r="Q54" s="58">
        <v>0</v>
      </c>
      <c r="R54" s="58">
        <v>0</v>
      </c>
      <c r="S54" s="61">
        <f t="shared" si="8"/>
        <v>0</v>
      </c>
      <c r="T54" s="56"/>
      <c r="U54" s="63">
        <f t="shared" si="9"/>
        <v>0</v>
      </c>
      <c r="V54" s="56">
        <f t="shared" si="10"/>
        <v>0</v>
      </c>
      <c r="W54" s="64">
        <f t="shared" si="11"/>
        <v>0</v>
      </c>
      <c r="X54" s="82"/>
      <c r="Y54" s="82"/>
      <c r="Z54" s="282">
        <f t="shared" si="12"/>
        <v>0</v>
      </c>
    </row>
    <row r="55" spans="1:26">
      <c r="A55" s="74" t="s">
        <v>130</v>
      </c>
      <c r="B55" s="75" t="str">
        <f>IF(ISNA(VLOOKUP($A55,'[2]Coding (Do not delete)'!$A$7:$K$656,3,FALSE))=TRUE,0,VLOOKUP($A55,'[2]Coding (Do not delete)'!$A$7:$K$656,8,FALSE))</f>
        <v>JE#  ZZ36  Def Hist - Accum Amort UPAA - a/c 115000</v>
      </c>
      <c r="C55" s="65">
        <f>IF(ISNA(VLOOKUP($A55,'[2]Coding (Do not delete)'!$A$7:$K$656,5,FALSE))=TRUE,0,VLOOKUP($A55,'[2]Coding (Do not delete)'!$A$7:$K$656,5,FALSE))</f>
        <v>115000</v>
      </c>
      <c r="D55" s="65" t="s">
        <v>76</v>
      </c>
      <c r="E55" s="65" t="s">
        <v>131</v>
      </c>
      <c r="F55" s="79"/>
      <c r="G55" s="61">
        <v>-376689</v>
      </c>
      <c r="H55" s="56">
        <v>0</v>
      </c>
      <c r="I55" s="56"/>
      <c r="J55" s="56">
        <v>0</v>
      </c>
      <c r="K55" s="56">
        <v>0</v>
      </c>
      <c r="L55" s="56">
        <v>0</v>
      </c>
      <c r="M55" s="61">
        <f t="shared" si="7"/>
        <v>-376689</v>
      </c>
      <c r="N55" s="56">
        <f>IF(ISNA(VLOOKUP($B55,'[2]Current Provision - HYP'!$A$10:$BQ$201,$E$5,FALSE))=TRUE,0,VLOOKUP($B55,'[2]Current Provision - HYP'!$A$10:$BQ$201,$E$5,FALSE))</f>
        <v>0</v>
      </c>
      <c r="O55" s="56">
        <v>0</v>
      </c>
      <c r="P55" s="58">
        <v>0</v>
      </c>
      <c r="Q55" s="58">
        <v>0</v>
      </c>
      <c r="R55" s="58">
        <v>0</v>
      </c>
      <c r="S55" s="61">
        <f t="shared" si="8"/>
        <v>-376689</v>
      </c>
      <c r="T55" s="56"/>
      <c r="U55" s="63">
        <f t="shared" si="9"/>
        <v>0</v>
      </c>
      <c r="V55" s="56">
        <f t="shared" si="10"/>
        <v>146532.02099999998</v>
      </c>
      <c r="W55" s="64">
        <f t="shared" si="11"/>
        <v>-146532.02099999998</v>
      </c>
      <c r="X55" s="58"/>
      <c r="Z55" s="279">
        <f t="shared" si="12"/>
        <v>0</v>
      </c>
    </row>
    <row r="56" spans="1:26">
      <c r="A56" s="74" t="s">
        <v>132</v>
      </c>
      <c r="B56" s="75" t="str">
        <f>IF(ISNA(VLOOKUP($A56,'[2]Coding (Do not delete)'!$A$7:$K$656,3,FALSE))=TRUE,0,VLOOKUP($A56,'[2]Coding (Do not delete)'!$A$7:$K$656,8,FALSE))</f>
        <v>JE#  ZZ29  Def Hist - Nonutility Property-Land a/c 121100</v>
      </c>
      <c r="C56" s="54">
        <f>IF(ISNA(VLOOKUP($A56,'[2]Coding (Do not delete)'!$A$7:$K$656,5,FALSE))=TRUE,0,VLOOKUP($A56,'[2]Coding (Do not delete)'!$A$7:$K$656,5,FALSE))</f>
        <v>121100</v>
      </c>
      <c r="D56" s="54" t="s">
        <v>76</v>
      </c>
      <c r="E56" s="54" t="s">
        <v>90</v>
      </c>
      <c r="F56" s="79"/>
      <c r="G56" s="61">
        <v>0</v>
      </c>
      <c r="H56" s="56">
        <v>0</v>
      </c>
      <c r="I56" s="56"/>
      <c r="J56" s="56">
        <v>0</v>
      </c>
      <c r="K56" s="56">
        <v>0</v>
      </c>
      <c r="L56" s="56">
        <v>0</v>
      </c>
      <c r="M56" s="61">
        <f t="shared" si="7"/>
        <v>0</v>
      </c>
      <c r="N56" s="56">
        <f>IF(ISNA(VLOOKUP($B56,'[2]Current Provision - HYP'!$A$10:$BQ$201,$E$5,FALSE))=TRUE,0,VLOOKUP($B56,'[2]Current Provision - HYP'!$A$10:$BQ$201,$E$5,FALSE))</f>
        <v>0</v>
      </c>
      <c r="O56" s="56">
        <v>0</v>
      </c>
      <c r="P56" s="58">
        <v>0</v>
      </c>
      <c r="Q56" s="58">
        <v>0</v>
      </c>
      <c r="R56" s="58">
        <v>0</v>
      </c>
      <c r="S56" s="61">
        <f t="shared" si="8"/>
        <v>0</v>
      </c>
      <c r="T56" s="56"/>
      <c r="U56" s="63">
        <f t="shared" si="9"/>
        <v>0</v>
      </c>
      <c r="V56" s="56">
        <f t="shared" si="10"/>
        <v>0</v>
      </c>
      <c r="W56" s="64">
        <f t="shared" si="11"/>
        <v>0</v>
      </c>
      <c r="X56" s="58"/>
      <c r="Z56" s="279">
        <f t="shared" si="12"/>
        <v>0</v>
      </c>
    </row>
    <row r="57" spans="1:26" ht="15">
      <c r="A57" s="74" t="s">
        <v>133</v>
      </c>
      <c r="B57" s="75" t="str">
        <f>IF(ISNA(VLOOKUP($A57,'[2]Coding (Do not delete)'!$A$7:$K$656,3,FALSE))=TRUE,0,VLOOKUP($A57,'[2]Coding (Do not delete)'!$A$7:$K$656,8,FALSE))</f>
        <v>JE#  T175  Acquisition Costs</v>
      </c>
      <c r="C57" s="54">
        <f>IF(ISNA(VLOOKUP($A57,'[2]Coding (Do not delete)'!$A$7:$K$656,5,FALSE))=TRUE,0,VLOOKUP($A57,'[2]Coding (Do not delete)'!$A$7:$K$656,5,FALSE))</f>
        <v>123140</v>
      </c>
      <c r="D57" s="54" t="s">
        <v>134</v>
      </c>
      <c r="E57" s="54" t="s">
        <v>135</v>
      </c>
      <c r="F57" s="79"/>
      <c r="G57" s="61">
        <v>0</v>
      </c>
      <c r="H57" s="56">
        <v>0</v>
      </c>
      <c r="I57" s="56"/>
      <c r="J57" s="56">
        <v>0</v>
      </c>
      <c r="K57" s="56">
        <v>0</v>
      </c>
      <c r="L57" s="56">
        <v>0</v>
      </c>
      <c r="M57" s="61">
        <f t="shared" si="7"/>
        <v>0</v>
      </c>
      <c r="N57" s="56">
        <f>IF(ISNA(VLOOKUP($B57,'[2]Current Provision - HYP'!$A$10:$BQ$201,$E$5,FALSE))=TRUE,0,VLOOKUP($B57,'[2]Current Provision - HYP'!$A$10:$BQ$201,$E$5,FALSE))</f>
        <v>0</v>
      </c>
      <c r="O57" s="56">
        <v>0</v>
      </c>
      <c r="P57" s="58">
        <v>0</v>
      </c>
      <c r="Q57" s="58">
        <v>0</v>
      </c>
      <c r="R57" s="58">
        <v>0</v>
      </c>
      <c r="S57" s="61">
        <f t="shared" si="8"/>
        <v>0</v>
      </c>
      <c r="T57" s="56"/>
      <c r="U57" s="63">
        <f t="shared" si="9"/>
        <v>0</v>
      </c>
      <c r="V57" s="56">
        <f t="shared" si="10"/>
        <v>0</v>
      </c>
      <c r="W57" s="64">
        <f t="shared" si="11"/>
        <v>0</v>
      </c>
      <c r="X57" s="77"/>
      <c r="Y57" s="77"/>
      <c r="Z57" s="280">
        <f t="shared" si="12"/>
        <v>0</v>
      </c>
    </row>
    <row r="58" spans="1:26" ht="15">
      <c r="A58" s="74" t="s">
        <v>136</v>
      </c>
      <c r="B58" s="75" t="str">
        <f>IF(ISNA(VLOOKUP($A58,'[2]Coding (Do not delete)'!$A$7:$K$656,3,FALSE))=TRUE,0,VLOOKUP($A58,'[2]Coding (Do not delete)'!$A$7:$K$656,8,FALSE))</f>
        <v>JE#  T170  Deferred Revenue</v>
      </c>
      <c r="C58" s="54">
        <f>IF(ISNA(VLOOKUP($A58,'[2]Coding (Do not delete)'!$A$7:$K$656,5,FALSE))=TRUE,0,VLOOKUP($A58,'[2]Coding (Do not delete)'!$A$7:$K$656,5,FALSE))</f>
        <v>173000</v>
      </c>
      <c r="D58" s="54" t="s">
        <v>76</v>
      </c>
      <c r="E58" s="54" t="s">
        <v>137</v>
      </c>
      <c r="F58" s="79"/>
      <c r="G58" s="61">
        <v>0</v>
      </c>
      <c r="H58" s="56">
        <v>0</v>
      </c>
      <c r="I58" s="56"/>
      <c r="J58" s="56">
        <v>0</v>
      </c>
      <c r="K58" s="56">
        <v>0</v>
      </c>
      <c r="L58" s="56">
        <v>0</v>
      </c>
      <c r="M58" s="61">
        <f t="shared" si="7"/>
        <v>0</v>
      </c>
      <c r="N58" s="56">
        <f>IF(ISNA(VLOOKUP($B58,'[2]Current Provision - HYP'!$A$10:$BQ$201,$E$5,FALSE))=TRUE,0,VLOOKUP($B58,'[2]Current Provision - HYP'!$A$10:$BQ$201,$E$5,FALSE))</f>
        <v>0</v>
      </c>
      <c r="O58" s="56">
        <v>0</v>
      </c>
      <c r="P58" s="58">
        <v>0</v>
      </c>
      <c r="Q58" s="58">
        <v>0</v>
      </c>
      <c r="R58" s="58">
        <v>0</v>
      </c>
      <c r="S58" s="61">
        <f t="shared" si="8"/>
        <v>0</v>
      </c>
      <c r="T58" s="56"/>
      <c r="U58" s="63">
        <f t="shared" si="9"/>
        <v>0</v>
      </c>
      <c r="V58" s="56">
        <f t="shared" si="10"/>
        <v>0</v>
      </c>
      <c r="W58" s="64">
        <f t="shared" si="11"/>
        <v>0</v>
      </c>
      <c r="X58" s="77"/>
      <c r="Y58" s="77"/>
      <c r="Z58" s="280">
        <f t="shared" si="12"/>
        <v>0</v>
      </c>
    </row>
    <row r="59" spans="1:26" ht="15">
      <c r="A59" s="74" t="s">
        <v>138</v>
      </c>
      <c r="B59" s="75" t="str">
        <f>IF(ISNA(VLOOKUP($A59,'[2]Coding (Do not delete)'!$A$7:$K$656,3,FALSE))=TRUE,0,VLOOKUP($A59,'[2]Coding (Do not delete)'!$A$7:$K$656,8,FALSE))</f>
        <v>JE#  T100  Amortization of Debt Discount</v>
      </c>
      <c r="C59" s="54">
        <f>IF(ISNA(VLOOKUP($A59,'[2]Coding (Do not delete)'!$A$7:$K$656,5,FALSE))=TRUE,0,VLOOKUP($A59,'[2]Coding (Do not delete)'!$A$7:$K$656,5,FALSE))</f>
        <v>181000</v>
      </c>
      <c r="D59" s="54" t="s">
        <v>76</v>
      </c>
      <c r="E59" s="54" t="s">
        <v>139</v>
      </c>
      <c r="F59" s="79"/>
      <c r="G59" s="61">
        <v>0</v>
      </c>
      <c r="H59" s="56">
        <v>0</v>
      </c>
      <c r="I59" s="56"/>
      <c r="J59" s="56">
        <v>0</v>
      </c>
      <c r="K59" s="56">
        <v>0</v>
      </c>
      <c r="L59" s="56">
        <v>0</v>
      </c>
      <c r="M59" s="61">
        <f t="shared" si="7"/>
        <v>0</v>
      </c>
      <c r="N59" s="56">
        <f>IF(ISNA(VLOOKUP($B59,'[2]Current Provision - HYP'!$A$10:$BQ$201,$E$5,FALSE))=TRUE,0,VLOOKUP($B59,'[2]Current Provision - HYP'!$A$10:$BQ$201,$E$5,FALSE))</f>
        <v>0</v>
      </c>
      <c r="O59" s="56">
        <v>0</v>
      </c>
      <c r="P59" s="58">
        <v>0</v>
      </c>
      <c r="Q59" s="58">
        <v>0</v>
      </c>
      <c r="R59" s="58">
        <v>0</v>
      </c>
      <c r="S59" s="61">
        <f t="shared" si="8"/>
        <v>0</v>
      </c>
      <c r="T59" s="56"/>
      <c r="U59" s="63">
        <f t="shared" si="9"/>
        <v>0</v>
      </c>
      <c r="V59" s="56">
        <f t="shared" si="10"/>
        <v>0</v>
      </c>
      <c r="W59" s="64">
        <f t="shared" si="11"/>
        <v>0</v>
      </c>
      <c r="X59" s="77"/>
      <c r="Y59" s="77"/>
      <c r="Z59" s="280">
        <f t="shared" si="12"/>
        <v>0</v>
      </c>
    </row>
    <row r="60" spans="1:26">
      <c r="A60" s="74" t="s">
        <v>140</v>
      </c>
      <c r="B60" s="75" t="str">
        <f>IF(ISNA(VLOOKUP($A60,'[2]Coding (Do not delete)'!$A$7:$K$656,3,FALSE))=TRUE,0,VLOOKUP($A60,'[2]Coding (Do not delete)'!$A$7:$K$656,8,FALSE))</f>
        <v>JE#  ZZ10  Def Hist - Debt Discount a/c 181000</v>
      </c>
      <c r="C60" s="54">
        <f>IF(ISNA(VLOOKUP($A60,'[2]Coding (Do not delete)'!$A$7:$K$656,5,FALSE))=TRUE,0,VLOOKUP($A60,'[2]Coding (Do not delete)'!$A$7:$K$656,5,FALSE))</f>
        <v>181000</v>
      </c>
      <c r="D60" s="54" t="s">
        <v>76</v>
      </c>
      <c r="E60" s="54" t="s">
        <v>139</v>
      </c>
      <c r="F60" s="79"/>
      <c r="G60" s="61">
        <v>0</v>
      </c>
      <c r="H60" s="56">
        <v>0</v>
      </c>
      <c r="I60" s="56"/>
      <c r="J60" s="56">
        <v>0</v>
      </c>
      <c r="K60" s="56">
        <v>0</v>
      </c>
      <c r="L60" s="56">
        <v>0</v>
      </c>
      <c r="M60" s="61">
        <f t="shared" si="7"/>
        <v>0</v>
      </c>
      <c r="N60" s="56">
        <f>IF(ISNA(VLOOKUP($B60,'[2]Current Provision - HYP'!$A$10:$BQ$201,$E$5,FALSE))=TRUE,0,VLOOKUP($B60,'[2]Current Provision - HYP'!$A$10:$BQ$201,$E$5,FALSE))</f>
        <v>0</v>
      </c>
      <c r="O60" s="56">
        <v>0</v>
      </c>
      <c r="P60" s="58">
        <v>0</v>
      </c>
      <c r="Q60" s="58">
        <v>0</v>
      </c>
      <c r="R60" s="58">
        <v>0</v>
      </c>
      <c r="S60" s="61">
        <f t="shared" si="8"/>
        <v>0</v>
      </c>
      <c r="T60" s="56"/>
      <c r="U60" s="63">
        <f t="shared" si="9"/>
        <v>0</v>
      </c>
      <c r="V60" s="56">
        <f t="shared" si="10"/>
        <v>0</v>
      </c>
      <c r="W60" s="64">
        <f t="shared" si="11"/>
        <v>0</v>
      </c>
      <c r="X60" s="82"/>
      <c r="Y60" s="82"/>
      <c r="Z60" s="282">
        <f t="shared" si="12"/>
        <v>0</v>
      </c>
    </row>
    <row r="61" spans="1:26">
      <c r="A61" s="74" t="s">
        <v>141</v>
      </c>
      <c r="B61" s="75" t="str">
        <f>IF(ISNA(VLOOKUP($A61,'[2]Coding (Do not delete)'!$A$7:$K$656,3,FALSE))=TRUE,0,VLOOKUP($A61,'[2]Coding (Do not delete)'!$A$7:$K$656,8,FALSE))</f>
        <v>JE#  T040  Rate Case Expense</v>
      </c>
      <c r="C61" s="65">
        <f>IF(ISNA(VLOOKUP($A61,'[2]Coding (Do not delete)'!$A$7:$K$656,5,FALSE))=TRUE,0,VLOOKUP($A61,'[2]Coding (Do not delete)'!$A$7:$K$656,5,FALSE))</f>
        <v>182000</v>
      </c>
      <c r="D61" s="65" t="s">
        <v>76</v>
      </c>
      <c r="E61" s="65" t="s">
        <v>137</v>
      </c>
      <c r="F61" s="79"/>
      <c r="G61" s="61">
        <v>-491878</v>
      </c>
      <c r="H61" s="56">
        <v>0</v>
      </c>
      <c r="I61" s="56"/>
      <c r="J61" s="56">
        <v>0</v>
      </c>
      <c r="K61" s="56">
        <v>0</v>
      </c>
      <c r="L61" s="56">
        <v>0</v>
      </c>
      <c r="M61" s="61">
        <f t="shared" si="7"/>
        <v>-491878</v>
      </c>
      <c r="N61" s="56">
        <f>IF(ISNA(VLOOKUP($B61,'[2]Current Provision - HYP'!$A$10:$BQ$201,$E$5,FALSE))=TRUE,0,VLOOKUP($B61,'[2]Current Provision - HYP'!$A$10:$BQ$201,$E$5,FALSE))</f>
        <v>-41864</v>
      </c>
      <c r="O61" s="56">
        <v>0</v>
      </c>
      <c r="P61" s="58">
        <v>0</v>
      </c>
      <c r="Q61" s="58">
        <v>0</v>
      </c>
      <c r="R61" s="58">
        <v>0</v>
      </c>
      <c r="S61" s="61">
        <f t="shared" si="8"/>
        <v>-533742</v>
      </c>
      <c r="T61" s="56"/>
      <c r="U61" s="63">
        <f t="shared" si="9"/>
        <v>0</v>
      </c>
      <c r="V61" s="56">
        <f t="shared" si="10"/>
        <v>207625.63799999998</v>
      </c>
      <c r="W61" s="64">
        <f t="shared" si="11"/>
        <v>-207625.63799999998</v>
      </c>
      <c r="Z61" s="279">
        <f t="shared" si="12"/>
        <v>0</v>
      </c>
    </row>
    <row r="62" spans="1:26" ht="15">
      <c r="A62" s="74" t="s">
        <v>142</v>
      </c>
      <c r="B62" s="75" t="str">
        <f>IF(ISNA(VLOOKUP($A62,'[2]Coding (Do not delete)'!$A$7:$K$656,3,FALSE))=TRUE,0,VLOOKUP($A62,'[2]Coding (Do not delete)'!$A$7:$K$656,8,FALSE))</f>
        <v>JE#  Z023  Prov/Return Adjustment - Rate Case</v>
      </c>
      <c r="C62" s="54">
        <f>IF(ISNA(VLOOKUP($A62,'[2]Coding (Do not delete)'!$A$7:$K$656,5,FALSE))=TRUE,0,VLOOKUP($A62,'[2]Coding (Do not delete)'!$A$7:$K$656,5,FALSE))</f>
        <v>182000</v>
      </c>
      <c r="D62" s="54" t="s">
        <v>76</v>
      </c>
      <c r="E62" s="54" t="s">
        <v>137</v>
      </c>
      <c r="F62" s="79"/>
      <c r="G62" s="61">
        <v>0</v>
      </c>
      <c r="H62" s="56">
        <v>0</v>
      </c>
      <c r="I62" s="56"/>
      <c r="J62" s="56">
        <v>0</v>
      </c>
      <c r="K62" s="56">
        <v>0</v>
      </c>
      <c r="L62" s="56">
        <v>0</v>
      </c>
      <c r="M62" s="61">
        <f t="shared" si="7"/>
        <v>0</v>
      </c>
      <c r="N62" s="56">
        <f>IF(ISNA(VLOOKUP($B62,'[2]Current Provision - HYP'!$A$10:$BQ$201,$E$5,FALSE))=TRUE,0,VLOOKUP($B62,'[2]Current Provision - HYP'!$A$10:$BQ$201,$E$5,FALSE))</f>
        <v>0</v>
      </c>
      <c r="O62" s="56">
        <v>0</v>
      </c>
      <c r="P62" s="58">
        <v>0</v>
      </c>
      <c r="Q62" s="58">
        <v>0</v>
      </c>
      <c r="R62" s="58">
        <v>0</v>
      </c>
      <c r="S62" s="61">
        <f t="shared" si="8"/>
        <v>0</v>
      </c>
      <c r="T62" s="56"/>
      <c r="U62" s="63">
        <f t="shared" si="9"/>
        <v>0</v>
      </c>
      <c r="V62" s="56">
        <f t="shared" si="10"/>
        <v>0</v>
      </c>
      <c r="W62" s="64">
        <f t="shared" si="11"/>
        <v>0</v>
      </c>
      <c r="X62" s="77"/>
      <c r="Y62" s="77"/>
      <c r="Z62" s="280">
        <f t="shared" si="12"/>
        <v>0</v>
      </c>
    </row>
    <row r="63" spans="1:26" ht="15">
      <c r="A63" s="74" t="s">
        <v>143</v>
      </c>
      <c r="B63" s="75" t="s">
        <v>144</v>
      </c>
      <c r="C63" s="54">
        <v>182000</v>
      </c>
      <c r="D63" s="54" t="s">
        <v>145</v>
      </c>
      <c r="E63" s="54" t="s">
        <v>146</v>
      </c>
      <c r="F63" s="79"/>
      <c r="G63" s="61">
        <v>49118</v>
      </c>
      <c r="H63" s="56">
        <v>148985</v>
      </c>
      <c r="I63" s="56"/>
      <c r="J63" s="56">
        <v>0</v>
      </c>
      <c r="K63" s="56">
        <v>0</v>
      </c>
      <c r="L63" s="56">
        <v>0</v>
      </c>
      <c r="M63" s="61">
        <f t="shared" si="7"/>
        <v>198103</v>
      </c>
      <c r="N63" s="56">
        <f>IF(ISNA(VLOOKUP($B63,'[2]Current Provision - HYP'!$A$10:$BQ$201,$E$5,FALSE))=TRUE,0,VLOOKUP($B63,'[2]Current Provision - HYP'!$A$10:$BQ$201,$E$5,FALSE))</f>
        <v>0</v>
      </c>
      <c r="O63" s="56">
        <v>0</v>
      </c>
      <c r="P63" s="58">
        <v>0</v>
      </c>
      <c r="Q63" s="58">
        <v>0</v>
      </c>
      <c r="R63" s="58">
        <v>0</v>
      </c>
      <c r="S63" s="61">
        <f t="shared" si="8"/>
        <v>198103</v>
      </c>
      <c r="T63" s="56"/>
      <c r="U63" s="63">
        <f t="shared" si="9"/>
        <v>77062.066999999995</v>
      </c>
      <c r="V63" s="56">
        <f t="shared" si="10"/>
        <v>0</v>
      </c>
      <c r="W63" s="64">
        <f t="shared" si="11"/>
        <v>77062.066999999995</v>
      </c>
      <c r="X63" s="77"/>
      <c r="Y63" s="77"/>
      <c r="Z63" s="280">
        <f t="shared" si="12"/>
        <v>0</v>
      </c>
    </row>
    <row r="64" spans="1:26" ht="15">
      <c r="A64" s="74" t="s">
        <v>147</v>
      </c>
      <c r="B64" s="75" t="str">
        <f>IF(ISNA(VLOOKUP($A64,'[2]Coding (Do not delete)'!$A$7:$K$656,3,FALSE))=TRUE,0,VLOOKUP($A64,'[2]Coding (Do not delete)'!$A$7:$K$656,8,FALSE))</f>
        <v>JE#  T186  Deferred Customer Service Center Costs</v>
      </c>
      <c r="C64" s="54">
        <f>IF(ISNA(VLOOKUP($A64,'[2]Coding (Do not delete)'!$A$7:$K$656,5,FALSE))=TRUE,0,VLOOKUP($A64,'[2]Coding (Do not delete)'!$A$7:$K$656,5,FALSE))</f>
        <v>183280</v>
      </c>
      <c r="D64" s="54" t="s">
        <v>76</v>
      </c>
      <c r="E64" s="54" t="s">
        <v>148</v>
      </c>
      <c r="F64" s="79"/>
      <c r="G64" s="61">
        <v>213362</v>
      </c>
      <c r="H64" s="56">
        <v>0</v>
      </c>
      <c r="I64" s="56"/>
      <c r="J64" s="56">
        <v>0</v>
      </c>
      <c r="K64" s="56">
        <v>0</v>
      </c>
      <c r="L64" s="56">
        <v>0</v>
      </c>
      <c r="M64" s="61">
        <f t="shared" si="7"/>
        <v>213362</v>
      </c>
      <c r="N64" s="56">
        <f>IF(ISNA(VLOOKUP($B64,'[2]Current Provision - HYP'!$A$10:$BQ$201,$E$5,FALSE))=TRUE,0,VLOOKUP($B64,'[2]Current Provision - HYP'!$A$10:$BQ$201,$E$5,FALSE))</f>
        <v>0</v>
      </c>
      <c r="O64" s="56">
        <v>0</v>
      </c>
      <c r="P64" s="58">
        <v>0</v>
      </c>
      <c r="Q64" s="58">
        <v>0</v>
      </c>
      <c r="R64" s="58">
        <v>0</v>
      </c>
      <c r="S64" s="61">
        <f t="shared" si="8"/>
        <v>213362</v>
      </c>
      <c r="T64" s="56"/>
      <c r="U64" s="63">
        <f t="shared" si="9"/>
        <v>82997.817999999985</v>
      </c>
      <c r="V64" s="56">
        <f t="shared" si="10"/>
        <v>0</v>
      </c>
      <c r="W64" s="64">
        <f t="shared" si="11"/>
        <v>82997.817999999985</v>
      </c>
      <c r="X64" s="77"/>
      <c r="Y64" s="77"/>
      <c r="Z64" s="280">
        <f t="shared" si="12"/>
        <v>0</v>
      </c>
    </row>
    <row r="65" spans="1:26" ht="15">
      <c r="A65" s="74" t="s">
        <v>149</v>
      </c>
      <c r="B65" s="75" t="str">
        <f>IF(ISNA(VLOOKUP($A65,'[2]Coding (Do not delete)'!$A$7:$K$656,3,FALSE))=TRUE,0,VLOOKUP($A65,'[2]Coding (Do not delete)'!$A$7:$K$656,8,FALSE))</f>
        <v>JE#  U101  Deferred Customer Service Offset</v>
      </c>
      <c r="C65" s="54">
        <f>IF(ISNA(VLOOKUP($A65,'[2]Coding (Do not delete)'!$A$7:$K$656,5,FALSE))=TRUE,0,VLOOKUP($A65,'[2]Coding (Do not delete)'!$A$7:$K$656,5,FALSE))</f>
        <v>183280</v>
      </c>
      <c r="D65" s="54" t="s">
        <v>76</v>
      </c>
      <c r="E65" s="54" t="s">
        <v>148</v>
      </c>
      <c r="F65" s="79"/>
      <c r="G65" s="61">
        <v>0</v>
      </c>
      <c r="H65" s="56">
        <v>0</v>
      </c>
      <c r="I65" s="56"/>
      <c r="J65" s="56">
        <v>0</v>
      </c>
      <c r="K65" s="56">
        <v>0</v>
      </c>
      <c r="L65" s="56">
        <v>0</v>
      </c>
      <c r="M65" s="61">
        <f t="shared" si="7"/>
        <v>0</v>
      </c>
      <c r="N65" s="56">
        <f>IF(ISNA(VLOOKUP($B65,'[2]Current Provision - HYP'!$A$10:$BQ$201,$E$5,FALSE))=TRUE,0,VLOOKUP($B65,'[2]Current Provision - HYP'!$A$10:$BQ$201,$E$5,FALSE))</f>
        <v>0</v>
      </c>
      <c r="O65" s="56">
        <v>0</v>
      </c>
      <c r="P65" s="58">
        <v>0</v>
      </c>
      <c r="Q65" s="58">
        <v>0</v>
      </c>
      <c r="R65" s="58">
        <v>0</v>
      </c>
      <c r="S65" s="61">
        <f t="shared" si="8"/>
        <v>0</v>
      </c>
      <c r="T65" s="56"/>
      <c r="U65" s="63">
        <f t="shared" si="9"/>
        <v>0</v>
      </c>
      <c r="V65" s="56">
        <f t="shared" si="10"/>
        <v>0</v>
      </c>
      <c r="W65" s="64">
        <f t="shared" si="11"/>
        <v>0</v>
      </c>
      <c r="X65" s="77"/>
      <c r="Y65" s="77"/>
      <c r="Z65" s="280">
        <f t="shared" si="12"/>
        <v>0</v>
      </c>
    </row>
    <row r="66" spans="1:26" ht="15">
      <c r="A66" s="74" t="s">
        <v>150</v>
      </c>
      <c r="B66" s="75" t="str">
        <f>IF(ISNA(VLOOKUP($A66,'[2]Coding (Do not delete)'!$A$7:$K$656,3,FALSE))=TRUE,0,VLOOKUP($A66,'[2]Coding (Do not delete)'!$A$7:$K$656,8,FALSE))</f>
        <v>JE#  T187  Deferred Financial Services Costs</v>
      </c>
      <c r="C66" s="54">
        <f>IF(ISNA(VLOOKUP($A66,'[2]Coding (Do not delete)'!$A$7:$K$656,5,FALSE))=TRUE,0,VLOOKUP($A66,'[2]Coding (Do not delete)'!$A$7:$K$656,5,FALSE))</f>
        <v>183281</v>
      </c>
      <c r="D66" s="54" t="s">
        <v>76</v>
      </c>
      <c r="E66" s="54" t="s">
        <v>148</v>
      </c>
      <c r="F66" s="79"/>
      <c r="G66" s="61">
        <v>437167.42027861951</v>
      </c>
      <c r="H66" s="56">
        <v>0</v>
      </c>
      <c r="I66" s="56"/>
      <c r="J66" s="56">
        <v>0</v>
      </c>
      <c r="K66" s="56">
        <v>0</v>
      </c>
      <c r="L66" s="56">
        <v>0</v>
      </c>
      <c r="M66" s="61">
        <f t="shared" si="7"/>
        <v>437167.42027861951</v>
      </c>
      <c r="N66" s="56">
        <f>IF(ISNA(VLOOKUP($B66,'[2]Current Provision - HYP'!$A$10:$BQ$201,$E$5,FALSE))=TRUE,0,VLOOKUP($B66,'[2]Current Provision - HYP'!$A$10:$BQ$201,$E$5,FALSE))</f>
        <v>0</v>
      </c>
      <c r="O66" s="56">
        <v>0</v>
      </c>
      <c r="P66" s="58">
        <v>0</v>
      </c>
      <c r="Q66" s="58">
        <v>0</v>
      </c>
      <c r="R66" s="58">
        <v>0</v>
      </c>
      <c r="S66" s="61">
        <f t="shared" si="8"/>
        <v>437167.42027861951</v>
      </c>
      <c r="T66" s="56"/>
      <c r="U66" s="63">
        <f t="shared" si="9"/>
        <v>170058.12648838296</v>
      </c>
      <c r="V66" s="56">
        <f t="shared" si="10"/>
        <v>0</v>
      </c>
      <c r="W66" s="64">
        <f t="shared" si="11"/>
        <v>170058.12648838296</v>
      </c>
      <c r="X66" s="77"/>
      <c r="Y66" s="77"/>
      <c r="Z66" s="280">
        <f t="shared" si="12"/>
        <v>0</v>
      </c>
    </row>
    <row r="67" spans="1:26" ht="15">
      <c r="A67" s="74" t="s">
        <v>151</v>
      </c>
      <c r="B67" s="75" t="str">
        <f>IF(ISNA(VLOOKUP($A67,'[2]Coding (Do not delete)'!$A$7:$K$656,3,FALSE))=TRUE,0,VLOOKUP($A67,'[2]Coding (Do not delete)'!$A$7:$K$656,8,FALSE))</f>
        <v>JE#  U102  Deferred Financial Services Offset</v>
      </c>
      <c r="C67" s="54">
        <f>IF(ISNA(VLOOKUP($A67,'[2]Coding (Do not delete)'!$A$7:$K$656,5,FALSE))=TRUE,0,VLOOKUP($A67,'[2]Coding (Do not delete)'!$A$7:$K$656,5,FALSE))</f>
        <v>183281</v>
      </c>
      <c r="D67" s="54" t="s">
        <v>76</v>
      </c>
      <c r="E67" s="54" t="s">
        <v>148</v>
      </c>
      <c r="F67" s="79"/>
      <c r="G67" s="61">
        <v>0</v>
      </c>
      <c r="H67" s="56">
        <v>0</v>
      </c>
      <c r="I67" s="56"/>
      <c r="J67" s="56">
        <v>0</v>
      </c>
      <c r="K67" s="56">
        <v>0</v>
      </c>
      <c r="L67" s="56">
        <v>0</v>
      </c>
      <c r="M67" s="61">
        <f t="shared" si="7"/>
        <v>0</v>
      </c>
      <c r="N67" s="56">
        <f>IF(ISNA(VLOOKUP($B67,'[2]Current Provision - HYP'!$A$10:$BQ$201,$E$5,FALSE))=TRUE,0,VLOOKUP($B67,'[2]Current Provision - HYP'!$A$10:$BQ$201,$E$5,FALSE))</f>
        <v>0</v>
      </c>
      <c r="O67" s="56">
        <v>0</v>
      </c>
      <c r="P67" s="58">
        <v>0</v>
      </c>
      <c r="Q67" s="58">
        <v>0</v>
      </c>
      <c r="R67" s="58">
        <v>0</v>
      </c>
      <c r="S67" s="61">
        <f t="shared" si="8"/>
        <v>0</v>
      </c>
      <c r="T67" s="56"/>
      <c r="U67" s="63">
        <f t="shared" si="9"/>
        <v>0</v>
      </c>
      <c r="V67" s="56">
        <f t="shared" si="10"/>
        <v>0</v>
      </c>
      <c r="W67" s="64">
        <f t="shared" si="11"/>
        <v>0</v>
      </c>
      <c r="X67" s="77"/>
      <c r="Y67" s="77"/>
      <c r="Z67" s="280">
        <f t="shared" si="12"/>
        <v>0</v>
      </c>
    </row>
    <row r="68" spans="1:26" ht="15">
      <c r="A68" s="74" t="s">
        <v>152</v>
      </c>
      <c r="B68" s="75" t="str">
        <f>IF(ISNA(VLOOKUP($A68,'[2]Coding (Do not delete)'!$A$7:$K$656,3,FALSE))=TRUE,0,VLOOKUP($A68,'[2]Coding (Do not delete)'!$A$7:$K$656,8,FALSE))</f>
        <v>JE#  T146  AFUDC - Equity CWIP (AFUDC 2)</v>
      </c>
      <c r="C68" s="54">
        <f>IF(ISNA(VLOOKUP($A68,'[2]Coding (Do not delete)'!$A$7:$K$656,5,FALSE))=TRUE,0,VLOOKUP($A68,'[2]Coding (Do not delete)'!$A$7:$K$656,5,FALSE))</f>
        <v>185035</v>
      </c>
      <c r="D68" s="54" t="s">
        <v>93</v>
      </c>
      <c r="E68" s="54" t="s">
        <v>153</v>
      </c>
      <c r="F68" s="79"/>
      <c r="G68" s="61">
        <v>-3758222</v>
      </c>
      <c r="H68" s="56">
        <v>-1287969</v>
      </c>
      <c r="I68" s="56"/>
      <c r="J68" s="56">
        <v>0</v>
      </c>
      <c r="K68" s="56">
        <v>0</v>
      </c>
      <c r="L68" s="56">
        <v>0</v>
      </c>
      <c r="M68" s="61">
        <f t="shared" si="7"/>
        <v>-5046191</v>
      </c>
      <c r="N68" s="56">
        <f>IF(ISNA(VLOOKUP($B68,'[2]Current Provision - HYP'!$A$10:$BQ$201,$E$5,FALSE))=TRUE,0,VLOOKUP($B68,'[2]Current Provision - HYP'!$A$10:$BQ$201,$E$5,FALSE))</f>
        <v>0</v>
      </c>
      <c r="O68" s="56">
        <v>0</v>
      </c>
      <c r="P68" s="58">
        <v>0</v>
      </c>
      <c r="Q68" s="58">
        <v>0</v>
      </c>
      <c r="R68" s="58">
        <v>0</v>
      </c>
      <c r="S68" s="61">
        <f t="shared" si="8"/>
        <v>-5046191</v>
      </c>
      <c r="T68" s="56"/>
      <c r="U68" s="63">
        <f t="shared" si="9"/>
        <v>0</v>
      </c>
      <c r="V68" s="56">
        <f t="shared" si="10"/>
        <v>1962968.2989999999</v>
      </c>
      <c r="W68" s="64">
        <f t="shared" si="11"/>
        <v>-1962968.2989999999</v>
      </c>
      <c r="X68" s="77"/>
      <c r="Y68" s="77"/>
      <c r="Z68" s="280">
        <f t="shared" si="12"/>
        <v>0</v>
      </c>
    </row>
    <row r="69" spans="1:26" ht="15">
      <c r="A69" s="74" t="s">
        <v>154</v>
      </c>
      <c r="B69" s="75" t="str">
        <f>IF(ISNA(VLOOKUP($A69,'[2]Coding (Do not delete)'!$A$7:$K$656,3,FALSE))=TRUE,0,VLOOKUP($A69,'[2]Coding (Do not delete)'!$A$7:$K$656,8,FALSE))</f>
        <v>JE#  T147  Amortization of Regulatory Asset (AFUDC 3)</v>
      </c>
      <c r="C69" s="54">
        <f>IF(ISNA(VLOOKUP($A69,'[2]Coding (Do not delete)'!$A$7:$K$656,5,FALSE))=TRUE,0,VLOOKUP($A69,'[2]Coding (Do not delete)'!$A$7:$K$656,5,FALSE))</f>
        <v>185055</v>
      </c>
      <c r="D69" s="54" t="s">
        <v>93</v>
      </c>
      <c r="E69" s="54" t="s">
        <v>155</v>
      </c>
      <c r="F69" s="79"/>
      <c r="G69" s="61">
        <v>569942</v>
      </c>
      <c r="H69" s="56">
        <v>6900</v>
      </c>
      <c r="I69" s="56"/>
      <c r="J69" s="56">
        <v>0</v>
      </c>
      <c r="K69" s="56">
        <v>0</v>
      </c>
      <c r="L69" s="56">
        <v>0</v>
      </c>
      <c r="M69" s="61">
        <f t="shared" si="7"/>
        <v>576842</v>
      </c>
      <c r="N69" s="56">
        <f>IF(ISNA(VLOOKUP($B69,'[2]Current Provision - HYP'!$A$10:$BQ$201,$E$5,FALSE))=TRUE,0,VLOOKUP($B69,'[2]Current Provision - HYP'!$A$10:$BQ$201,$E$5,FALSE))</f>
        <v>80248</v>
      </c>
      <c r="O69" s="56">
        <v>0</v>
      </c>
      <c r="P69" s="58">
        <v>0</v>
      </c>
      <c r="Q69" s="58">
        <v>0</v>
      </c>
      <c r="R69" s="58">
        <v>0</v>
      </c>
      <c r="S69" s="61">
        <f t="shared" si="8"/>
        <v>657090</v>
      </c>
      <c r="T69" s="56"/>
      <c r="U69" s="63">
        <f t="shared" si="9"/>
        <v>255608.00999999998</v>
      </c>
      <c r="V69" s="56">
        <f t="shared" si="10"/>
        <v>0</v>
      </c>
      <c r="W69" s="64">
        <f t="shared" si="11"/>
        <v>255608.00999999998</v>
      </c>
      <c r="X69" s="76"/>
      <c r="Y69" s="77"/>
      <c r="Z69" s="280">
        <f t="shared" si="12"/>
        <v>0</v>
      </c>
    </row>
    <row r="70" spans="1:26" ht="15">
      <c r="A70" s="74" t="s">
        <v>156</v>
      </c>
      <c r="B70" s="75" t="str">
        <f>IF(ISNA(VLOOKUP($A70,'[2]Coding (Do not delete)'!$A$7:$K$656,3,FALSE))=TRUE,0,VLOOKUP($A70,'[2]Coding (Do not delete)'!$A$7:$K$656,8,FALSE))</f>
        <v>JE#  Z019  Prov/Rtn Adj - AFUDC</v>
      </c>
      <c r="C70" s="54">
        <f>IF(ISNA(VLOOKUP($A70,'[2]Coding (Do not delete)'!$A$7:$K$656,5,FALSE))=TRUE,0,VLOOKUP($A70,'[2]Coding (Do not delete)'!$A$7:$K$656,5,FALSE))</f>
        <v>185055</v>
      </c>
      <c r="D70" s="54" t="s">
        <v>93</v>
      </c>
      <c r="E70" s="54" t="s">
        <v>155</v>
      </c>
      <c r="F70" s="79"/>
      <c r="G70" s="61">
        <v>0</v>
      </c>
      <c r="H70" s="56">
        <v>0</v>
      </c>
      <c r="I70" s="56"/>
      <c r="J70" s="56">
        <v>0</v>
      </c>
      <c r="K70" s="56">
        <v>0</v>
      </c>
      <c r="L70" s="56">
        <v>0</v>
      </c>
      <c r="M70" s="61">
        <f t="shared" si="7"/>
        <v>0</v>
      </c>
      <c r="N70" s="56">
        <f>IF(ISNA(VLOOKUP($B70,'[2]Current Provision - HYP'!$A$10:$BQ$201,$E$5,FALSE))=TRUE,0,VLOOKUP($B70,'[2]Current Provision - HYP'!$A$10:$BQ$201,$E$5,FALSE))</f>
        <v>0</v>
      </c>
      <c r="O70" s="56">
        <v>0</v>
      </c>
      <c r="P70" s="58">
        <v>0</v>
      </c>
      <c r="Q70" s="58">
        <v>0</v>
      </c>
      <c r="R70" s="58">
        <v>0</v>
      </c>
      <c r="S70" s="61">
        <f t="shared" si="8"/>
        <v>0</v>
      </c>
      <c r="T70" s="56"/>
      <c r="U70" s="63">
        <f t="shared" si="9"/>
        <v>0</v>
      </c>
      <c r="V70" s="56">
        <f t="shared" si="10"/>
        <v>0</v>
      </c>
      <c r="W70" s="64">
        <f t="shared" si="11"/>
        <v>0</v>
      </c>
      <c r="X70" s="77"/>
      <c r="Y70" s="77"/>
      <c r="Z70" s="280">
        <f t="shared" si="12"/>
        <v>0</v>
      </c>
    </row>
    <row r="71" spans="1:26" ht="15">
      <c r="A71" s="74" t="s">
        <v>157</v>
      </c>
      <c r="B71" s="75" t="str">
        <f>IF(ISNA(VLOOKUP($A71,'[2]Coding (Do not delete)'!$A$7:$K$656,3,FALSE))=TRUE,0,VLOOKUP($A71,'[2]Coding (Do not delete)'!$A$7:$K$656,8,FALSE))</f>
        <v>JE#  T165  Miscellaneous Deferred Debits (Misc 1)</v>
      </c>
      <c r="C71" s="54">
        <f>IF(ISNA(VLOOKUP($A71,'[2]Coding (Do not delete)'!$A$7:$K$656,5,FALSE))=TRUE,0,VLOOKUP($A71,'[2]Coding (Do not delete)'!$A$7:$K$656,5,FALSE))</f>
        <v>186000</v>
      </c>
      <c r="D71" s="54" t="s">
        <v>76</v>
      </c>
      <c r="E71" s="54" t="s">
        <v>137</v>
      </c>
      <c r="F71" s="79"/>
      <c r="G71" s="61">
        <v>-2339127</v>
      </c>
      <c r="H71" s="56">
        <v>0</v>
      </c>
      <c r="I71" s="56"/>
      <c r="J71" s="56">
        <v>0</v>
      </c>
      <c r="K71" s="56">
        <v>0</v>
      </c>
      <c r="L71" s="56">
        <v>0</v>
      </c>
      <c r="M71" s="61">
        <f t="shared" si="7"/>
        <v>-2339127</v>
      </c>
      <c r="N71" s="56">
        <f>IF(ISNA(VLOOKUP($B71,'[2]Current Provision - HYP'!$A$10:$BQ$201,$E$5,FALSE))=TRUE,0,VLOOKUP($B71,'[2]Current Provision - HYP'!$A$10:$BQ$201,$E$5,FALSE))</f>
        <v>412188</v>
      </c>
      <c r="O71" s="56">
        <v>0</v>
      </c>
      <c r="P71" s="58">
        <v>0</v>
      </c>
      <c r="Q71" s="58">
        <v>0</v>
      </c>
      <c r="R71" s="58">
        <v>0</v>
      </c>
      <c r="S71" s="61">
        <f t="shared" si="8"/>
        <v>-1926939</v>
      </c>
      <c r="T71" s="56"/>
      <c r="U71" s="63">
        <f t="shared" si="9"/>
        <v>0</v>
      </c>
      <c r="V71" s="56">
        <f t="shared" si="10"/>
        <v>749579.27099999995</v>
      </c>
      <c r="W71" s="64">
        <f t="shared" si="11"/>
        <v>-749579.27099999995</v>
      </c>
      <c r="X71" s="77"/>
      <c r="Y71" s="77"/>
      <c r="Z71" s="280">
        <f t="shared" si="12"/>
        <v>0</v>
      </c>
    </row>
    <row r="72" spans="1:26" ht="15">
      <c r="A72" s="74" t="s">
        <v>158</v>
      </c>
      <c r="B72" s="75" t="str">
        <f>IF(ISNA(VLOOKUP($A72,'[2]Coding (Do not delete)'!$A$7:$K$656,3,FALSE))=TRUE,0,VLOOKUP($A72,'[2]Coding (Do not delete)'!$A$7:$K$656,8,FALSE))</f>
        <v>JE#  Z004  Prov/Rtn Adjustment - Misc Deferred</v>
      </c>
      <c r="C72" s="54">
        <f>IF(ISNA(VLOOKUP($A72,'[2]Coding (Do not delete)'!$A$7:$K$656,5,FALSE))=TRUE,0,VLOOKUP($A72,'[2]Coding (Do not delete)'!$A$7:$K$656,5,FALSE))</f>
        <v>186000</v>
      </c>
      <c r="D72" s="54" t="s">
        <v>76</v>
      </c>
      <c r="E72" s="54" t="s">
        <v>137</v>
      </c>
      <c r="F72" s="79"/>
      <c r="G72" s="61">
        <v>208320</v>
      </c>
      <c r="H72" s="56">
        <v>0</v>
      </c>
      <c r="I72" s="56"/>
      <c r="J72" s="56">
        <v>0</v>
      </c>
      <c r="K72" s="56">
        <v>0</v>
      </c>
      <c r="L72" s="56">
        <v>0</v>
      </c>
      <c r="M72" s="61">
        <f t="shared" si="7"/>
        <v>208320</v>
      </c>
      <c r="N72" s="56">
        <f>IF(ISNA(VLOOKUP($B72,'[2]Current Provision - HYP'!$A$10:$BQ$201,$E$5,FALSE))=TRUE,0,VLOOKUP($B72,'[2]Current Provision - HYP'!$A$10:$BQ$201,$E$5,FALSE))</f>
        <v>0</v>
      </c>
      <c r="O72" s="56">
        <v>0</v>
      </c>
      <c r="P72" s="58">
        <v>0</v>
      </c>
      <c r="Q72" s="58">
        <v>0</v>
      </c>
      <c r="R72" s="58">
        <v>0</v>
      </c>
      <c r="S72" s="61">
        <f t="shared" si="8"/>
        <v>208320</v>
      </c>
      <c r="T72" s="56"/>
      <c r="U72" s="63">
        <f t="shared" si="9"/>
        <v>81036.479999999996</v>
      </c>
      <c r="V72" s="56">
        <f t="shared" si="10"/>
        <v>0</v>
      </c>
      <c r="W72" s="64">
        <f t="shared" si="11"/>
        <v>81036.479999999996</v>
      </c>
      <c r="X72" s="77"/>
      <c r="Y72" s="77"/>
      <c r="Z72" s="280">
        <f t="shared" si="12"/>
        <v>0</v>
      </c>
    </row>
    <row r="73" spans="1:26">
      <c r="A73" s="74" t="s">
        <v>159</v>
      </c>
      <c r="B73" s="75" t="str">
        <f>IF(ISNA(VLOOKUP($A73,'[2]Coding (Do not delete)'!$A$7:$K$656,3,FALSE))=TRUE,0,VLOOKUP($A73,'[2]Coding (Do not delete)'!$A$7:$K$656,8,FALSE))</f>
        <v>JE#  ZZ28  Def Hist - Other Assets Analyzed a/c 186000</v>
      </c>
      <c r="C73" s="54">
        <f>IF(ISNA(VLOOKUP($A73,'[2]Coding (Do not delete)'!$A$7:$K$656,5,FALSE))=TRUE,0,VLOOKUP($A73,'[2]Coding (Do not delete)'!$A$7:$K$656,5,FALSE))</f>
        <v>186000</v>
      </c>
      <c r="D73" s="54" t="s">
        <v>76</v>
      </c>
      <c r="E73" s="54" t="s">
        <v>137</v>
      </c>
      <c r="F73" s="79"/>
      <c r="G73" s="61">
        <v>-54911</v>
      </c>
      <c r="H73" s="56">
        <v>0</v>
      </c>
      <c r="I73" s="56"/>
      <c r="J73" s="56">
        <v>0</v>
      </c>
      <c r="K73" s="56">
        <v>0</v>
      </c>
      <c r="L73" s="56">
        <v>0</v>
      </c>
      <c r="M73" s="61">
        <f t="shared" si="7"/>
        <v>-54911</v>
      </c>
      <c r="N73" s="56">
        <f>IF(ISNA(VLOOKUP($B73,'[2]Current Provision - HYP'!$A$10:$BQ$201,$E$5,FALSE))=TRUE,0,VLOOKUP($B73,'[2]Current Provision - HYP'!$A$10:$BQ$201,$E$5,FALSE))</f>
        <v>0</v>
      </c>
      <c r="O73" s="56">
        <v>0</v>
      </c>
      <c r="P73" s="58">
        <v>0</v>
      </c>
      <c r="Q73" s="58">
        <v>0</v>
      </c>
      <c r="R73" s="58">
        <v>0</v>
      </c>
      <c r="S73" s="61">
        <f t="shared" si="8"/>
        <v>-54911</v>
      </c>
      <c r="T73" s="56"/>
      <c r="U73" s="63">
        <f t="shared" si="9"/>
        <v>0</v>
      </c>
      <c r="V73" s="56">
        <f t="shared" si="10"/>
        <v>21360.378999999997</v>
      </c>
      <c r="W73" s="64">
        <f t="shared" si="11"/>
        <v>-21360.378999999997</v>
      </c>
      <c r="X73" s="58"/>
      <c r="Z73" s="279">
        <f t="shared" si="12"/>
        <v>0</v>
      </c>
    </row>
    <row r="74" spans="1:26">
      <c r="A74" s="74" t="s">
        <v>160</v>
      </c>
      <c r="B74" s="75" t="str">
        <f>IF(ISNA(VLOOKUP($A74,'[2]Coding (Do not delete)'!$A$7:$K$656,3,FALSE))=TRUE,0,VLOOKUP($A74,'[2]Coding (Do not delete)'!$A$7:$K$656,8,FALSE))</f>
        <v>JE#  T064  Amortization of Premature Property Losses (Disp 5)</v>
      </c>
      <c r="C74" s="65">
        <f>IF(ISNA(VLOOKUP($A74,'[2]Coding (Do not delete)'!$A$7:$K$656,5,FALSE))=TRUE,0,VLOOKUP($A74,'[2]Coding (Do not delete)'!$A$7:$K$656,5,FALSE))</f>
        <v>186100</v>
      </c>
      <c r="D74" s="65" t="s">
        <v>76</v>
      </c>
      <c r="E74" s="65" t="s">
        <v>137</v>
      </c>
      <c r="F74" s="79"/>
      <c r="G74" s="61">
        <v>0</v>
      </c>
      <c r="H74" s="56">
        <v>0</v>
      </c>
      <c r="I74" s="56"/>
      <c r="J74" s="56">
        <v>0</v>
      </c>
      <c r="K74" s="56">
        <v>0</v>
      </c>
      <c r="L74" s="56">
        <v>0</v>
      </c>
      <c r="M74" s="61">
        <f t="shared" si="7"/>
        <v>0</v>
      </c>
      <c r="N74" s="56">
        <f>IF(ISNA(VLOOKUP($B74,'[2]Current Provision - HYP'!$A$10:$BQ$201,$E$5,FALSE))=TRUE,0,VLOOKUP($B74,'[2]Current Provision - HYP'!$A$10:$BQ$201,$E$5,FALSE))</f>
        <v>0</v>
      </c>
      <c r="O74" s="56">
        <v>0</v>
      </c>
      <c r="P74" s="58">
        <v>0</v>
      </c>
      <c r="Q74" s="58">
        <v>0</v>
      </c>
      <c r="R74" s="58">
        <v>0</v>
      </c>
      <c r="S74" s="61">
        <f t="shared" si="8"/>
        <v>0</v>
      </c>
      <c r="T74" s="56"/>
      <c r="U74" s="63">
        <f t="shared" si="9"/>
        <v>0</v>
      </c>
      <c r="V74" s="56">
        <f t="shared" si="10"/>
        <v>0</v>
      </c>
      <c r="W74" s="64">
        <f t="shared" si="11"/>
        <v>0</v>
      </c>
      <c r="Z74" s="279">
        <f t="shared" si="12"/>
        <v>0</v>
      </c>
    </row>
    <row r="75" spans="1:26" ht="15">
      <c r="A75" s="74" t="s">
        <v>161</v>
      </c>
      <c r="B75" s="75" t="str">
        <f>IF(ISNA(VLOOKUP($A75,'[2]Coding (Do not delete)'!$A$7:$K$656,3,FALSE))=TRUE,0,VLOOKUP($A75,'[2]Coding (Do not delete)'!$A$7:$K$656,8,FALSE))</f>
        <v>JE#  T160  Deferred Maintenance (Maint 1)</v>
      </c>
      <c r="C75" s="54">
        <f>IF(ISNA(VLOOKUP($A75,'[2]Coding (Do not delete)'!$A$7:$K$656,5,FALSE))=TRUE,0,VLOOKUP($A75,'[2]Coding (Do not delete)'!$A$7:$K$656,5,FALSE))</f>
        <v>186401</v>
      </c>
      <c r="D75" s="54" t="s">
        <v>76</v>
      </c>
      <c r="E75" s="54" t="s">
        <v>137</v>
      </c>
      <c r="F75" s="79"/>
      <c r="G75" s="61">
        <v>-1608739</v>
      </c>
      <c r="H75" s="56">
        <v>0</v>
      </c>
      <c r="I75" s="56"/>
      <c r="J75" s="56">
        <v>0</v>
      </c>
      <c r="K75" s="56">
        <v>0</v>
      </c>
      <c r="L75" s="56">
        <v>0</v>
      </c>
      <c r="M75" s="61">
        <f t="shared" si="7"/>
        <v>-1608739</v>
      </c>
      <c r="N75" s="56">
        <f>IF(ISNA(VLOOKUP($B75,'[2]Current Provision - HYP'!$A$10:$BQ$201,$E$5,FALSE))=TRUE,0,VLOOKUP($B75,'[2]Current Provision - HYP'!$A$10:$BQ$201,$E$5,FALSE))</f>
        <v>-1150022</v>
      </c>
      <c r="O75" s="56">
        <v>0</v>
      </c>
      <c r="P75" s="58">
        <v>0</v>
      </c>
      <c r="Q75" s="58">
        <v>0</v>
      </c>
      <c r="R75" s="58">
        <v>0</v>
      </c>
      <c r="S75" s="61">
        <f t="shared" si="8"/>
        <v>-2758761</v>
      </c>
      <c r="T75" s="56"/>
      <c r="U75" s="63">
        <f t="shared" si="9"/>
        <v>0</v>
      </c>
      <c r="V75" s="56">
        <f t="shared" si="10"/>
        <v>1073158.0289999999</v>
      </c>
      <c r="W75" s="64">
        <f t="shared" si="11"/>
        <v>-1073158.0289999999</v>
      </c>
      <c r="X75" s="77"/>
      <c r="Y75" s="77"/>
      <c r="Z75" s="280">
        <f t="shared" si="12"/>
        <v>0</v>
      </c>
    </row>
    <row r="76" spans="1:26" ht="15">
      <c r="A76" s="74" t="s">
        <v>162</v>
      </c>
      <c r="B76" s="75" t="str">
        <f>IF(ISNA(VLOOKUP($A76,'[2]Coding (Do not delete)'!$A$7:$K$656,3,FALSE))=TRUE,0,VLOOKUP($A76,'[2]Coding (Do not delete)'!$A$7:$K$656,8,FALSE))</f>
        <v>JE#  Z006  Prov/Rtn Rec - Deferred Maintenance</v>
      </c>
      <c r="C76" s="54">
        <f>IF(ISNA(VLOOKUP($A76,'[2]Coding (Do not delete)'!$A$7:$K$656,5,FALSE))=TRUE,0,VLOOKUP($A76,'[2]Coding (Do not delete)'!$A$7:$K$656,5,FALSE))</f>
        <v>186401</v>
      </c>
      <c r="D76" s="54" t="s">
        <v>76</v>
      </c>
      <c r="E76" s="54" t="s">
        <v>137</v>
      </c>
      <c r="F76" s="79"/>
      <c r="G76" s="61">
        <v>0</v>
      </c>
      <c r="H76" s="56">
        <v>0</v>
      </c>
      <c r="I76" s="56"/>
      <c r="J76" s="56">
        <v>0</v>
      </c>
      <c r="K76" s="56">
        <v>0</v>
      </c>
      <c r="L76" s="56">
        <v>0</v>
      </c>
      <c r="M76" s="61">
        <f t="shared" si="7"/>
        <v>0</v>
      </c>
      <c r="N76" s="56">
        <f>IF(ISNA(VLOOKUP($B76,'[2]Current Provision - HYP'!$A$10:$BQ$201,$E$5,FALSE))=TRUE,0,VLOOKUP($B76,'[2]Current Provision - HYP'!$A$10:$BQ$201,$E$5,FALSE))</f>
        <v>0</v>
      </c>
      <c r="O76" s="56">
        <v>0</v>
      </c>
      <c r="P76" s="58">
        <v>0</v>
      </c>
      <c r="Q76" s="58">
        <v>0</v>
      </c>
      <c r="R76" s="58">
        <v>0</v>
      </c>
      <c r="S76" s="61">
        <f t="shared" si="8"/>
        <v>0</v>
      </c>
      <c r="T76" s="56"/>
      <c r="U76" s="63">
        <f t="shared" si="9"/>
        <v>0</v>
      </c>
      <c r="V76" s="56">
        <f t="shared" si="10"/>
        <v>0</v>
      </c>
      <c r="W76" s="64">
        <f t="shared" si="11"/>
        <v>0</v>
      </c>
      <c r="X76" s="77"/>
      <c r="Y76" s="77"/>
      <c r="Z76" s="280">
        <f t="shared" si="12"/>
        <v>0</v>
      </c>
    </row>
    <row r="77" spans="1:26" ht="15">
      <c r="A77" s="74" t="s">
        <v>163</v>
      </c>
      <c r="B77" s="75" t="str">
        <f>IF(ISNA(VLOOKUP($A77,'[2]Coding (Do not delete)'!$A$7:$K$656,3,FALSE))=TRUE,0,VLOOKUP($A77,'[2]Coding (Do not delete)'!$A$7:$K$656,8,FALSE))</f>
        <v>JE#  T085  Purchased Water - Inside (PWtr 1)</v>
      </c>
      <c r="C77" s="54">
        <f>IF(ISNA(VLOOKUP($A77,'[2]Coding (Do not delete)'!$A$7:$K$656,5,FALSE))=TRUE,0,VLOOKUP($A77,'[2]Coding (Do not delete)'!$A$7:$K$656,5,FALSE))</f>
        <v>186402</v>
      </c>
      <c r="D77" s="54" t="s">
        <v>76</v>
      </c>
      <c r="E77" s="54" t="s">
        <v>137</v>
      </c>
      <c r="F77" s="79"/>
      <c r="G77" s="61">
        <v>0</v>
      </c>
      <c r="H77" s="56">
        <v>0</v>
      </c>
      <c r="I77" s="56"/>
      <c r="J77" s="56">
        <v>0</v>
      </c>
      <c r="K77" s="56">
        <v>0</v>
      </c>
      <c r="L77" s="56">
        <v>0</v>
      </c>
      <c r="M77" s="61">
        <f t="shared" si="7"/>
        <v>0</v>
      </c>
      <c r="N77" s="56">
        <f>IF(ISNA(VLOOKUP($B77,'[2]Current Provision - HYP'!$A$10:$BQ$201,$E$5,FALSE))=TRUE,0,VLOOKUP($B77,'[2]Current Provision - HYP'!$A$10:$BQ$201,$E$5,FALSE))</f>
        <v>0</v>
      </c>
      <c r="O77" s="56">
        <v>0</v>
      </c>
      <c r="P77" s="58">
        <v>0</v>
      </c>
      <c r="Q77" s="58">
        <v>0</v>
      </c>
      <c r="R77" s="58">
        <v>0</v>
      </c>
      <c r="S77" s="61">
        <f t="shared" si="8"/>
        <v>0</v>
      </c>
      <c r="T77" s="56"/>
      <c r="U77" s="63">
        <f t="shared" si="9"/>
        <v>0</v>
      </c>
      <c r="V77" s="56">
        <f t="shared" si="10"/>
        <v>0</v>
      </c>
      <c r="W77" s="64">
        <f t="shared" si="11"/>
        <v>0</v>
      </c>
      <c r="X77" s="77"/>
      <c r="Y77" s="77"/>
      <c r="Z77" s="280">
        <f t="shared" si="12"/>
        <v>0</v>
      </c>
    </row>
    <row r="78" spans="1:26">
      <c r="A78" s="74" t="s">
        <v>164</v>
      </c>
      <c r="B78" s="75" t="str">
        <f>IF(ISNA(VLOOKUP($A78,'[2]Coding (Do not delete)'!$A$7:$K$656,3,FALSE))=TRUE,0,VLOOKUP($A78,'[2]Coding (Do not delete)'!$A$7:$K$656,8,FALSE))</f>
        <v>JE#  T030  Merger Expense</v>
      </c>
      <c r="C78" s="65">
        <f>IF(ISNA(VLOOKUP($A78,'[2]Coding (Do not delete)'!$A$7:$K$656,5,FALSE))=TRUE,0,VLOOKUP($A78,'[2]Coding (Do not delete)'!$A$7:$K$656,5,FALSE))</f>
        <v>186410</v>
      </c>
      <c r="D78" s="65" t="s">
        <v>68</v>
      </c>
      <c r="E78" s="65" t="s">
        <v>137</v>
      </c>
      <c r="F78" s="79"/>
      <c r="G78" s="61">
        <v>0</v>
      </c>
      <c r="H78" s="56">
        <v>0</v>
      </c>
      <c r="I78" s="56"/>
      <c r="J78" s="56">
        <v>0</v>
      </c>
      <c r="K78" s="56">
        <v>0</v>
      </c>
      <c r="L78" s="56">
        <v>0</v>
      </c>
      <c r="M78" s="61">
        <f t="shared" si="7"/>
        <v>0</v>
      </c>
      <c r="N78" s="56">
        <f>IF(ISNA(VLOOKUP($B78,'[2]Current Provision - HYP'!$A$10:$BQ$201,$E$5,FALSE))=TRUE,0,VLOOKUP($B78,'[2]Current Provision - HYP'!$A$10:$BQ$201,$E$5,FALSE))</f>
        <v>0</v>
      </c>
      <c r="O78" s="56">
        <v>0</v>
      </c>
      <c r="P78" s="58">
        <v>0</v>
      </c>
      <c r="Q78" s="58">
        <v>0</v>
      </c>
      <c r="R78" s="58">
        <v>0</v>
      </c>
      <c r="S78" s="61">
        <f t="shared" si="8"/>
        <v>0</v>
      </c>
      <c r="T78" s="56"/>
      <c r="U78" s="63">
        <f t="shared" si="9"/>
        <v>0</v>
      </c>
      <c r="V78" s="56">
        <f t="shared" si="10"/>
        <v>0</v>
      </c>
      <c r="W78" s="64">
        <f t="shared" si="11"/>
        <v>0</v>
      </c>
      <c r="Z78" s="279">
        <f t="shared" si="12"/>
        <v>0</v>
      </c>
    </row>
    <row r="79" spans="1:26" ht="15">
      <c r="A79" s="74" t="s">
        <v>165</v>
      </c>
      <c r="B79" s="75" t="str">
        <f>IF(ISNA(VLOOKUP($A79,'[2]Coding (Do not delete)'!$A$7:$K$656,3,FALSE))=TRUE,0,VLOOKUP($A79,'[2]Coding (Do not delete)'!$A$7:$K$656,8,FALSE))</f>
        <v>JE#  Z020  Prov/Rtn Adj - Merger Expense</v>
      </c>
      <c r="C79" s="54">
        <f>IF(ISNA(VLOOKUP($A79,'[2]Coding (Do not delete)'!$A$7:$K$656,5,FALSE))=TRUE,0,VLOOKUP($A79,'[2]Coding (Do not delete)'!$A$7:$K$656,5,FALSE))</f>
        <v>186410</v>
      </c>
      <c r="D79" s="54" t="s">
        <v>68</v>
      </c>
      <c r="E79" s="54" t="s">
        <v>137</v>
      </c>
      <c r="F79" s="79"/>
      <c r="G79" s="61">
        <v>0</v>
      </c>
      <c r="H79" s="56">
        <v>0</v>
      </c>
      <c r="I79" s="56"/>
      <c r="J79" s="56">
        <v>0</v>
      </c>
      <c r="K79" s="56">
        <v>0</v>
      </c>
      <c r="L79" s="56">
        <v>0</v>
      </c>
      <c r="M79" s="61">
        <f t="shared" si="7"/>
        <v>0</v>
      </c>
      <c r="N79" s="56">
        <f>IF(ISNA(VLOOKUP($B79,'[2]Current Provision - HYP'!$A$10:$BQ$201,$E$5,FALSE))=TRUE,0,VLOOKUP($B79,'[2]Current Provision - HYP'!$A$10:$BQ$201,$E$5,FALSE))</f>
        <v>0</v>
      </c>
      <c r="O79" s="56">
        <v>0</v>
      </c>
      <c r="P79" s="58">
        <v>0</v>
      </c>
      <c r="Q79" s="58">
        <v>0</v>
      </c>
      <c r="R79" s="58">
        <v>0</v>
      </c>
      <c r="S79" s="61">
        <f t="shared" si="8"/>
        <v>0</v>
      </c>
      <c r="T79" s="56"/>
      <c r="U79" s="63">
        <f t="shared" si="9"/>
        <v>0</v>
      </c>
      <c r="V79" s="56">
        <f t="shared" si="10"/>
        <v>0</v>
      </c>
      <c r="W79" s="64">
        <f t="shared" si="11"/>
        <v>0</v>
      </c>
      <c r="X79" s="77"/>
      <c r="Y79" s="77"/>
      <c r="Z79" s="280">
        <f t="shared" si="12"/>
        <v>0</v>
      </c>
    </row>
    <row r="80" spans="1:26">
      <c r="A80" s="74" t="s">
        <v>166</v>
      </c>
      <c r="B80" s="75" t="str">
        <f>IF(ISNA(VLOOKUP($A80,'[2]Coding (Do not delete)'!$A$7:$K$656,3,FALSE))=TRUE,0,VLOOKUP($A80,'[2]Coding (Do not delete)'!$A$7:$K$656,8,FALSE))</f>
        <v>JE#  T086  Purchased Water - Outside (PWtr 2)</v>
      </c>
      <c r="C80" s="65">
        <f>IF(ISNA(VLOOKUP($A80,'[2]Coding (Do not delete)'!$A$7:$K$656,5,FALSE))=TRUE,0,VLOOKUP($A80,'[2]Coding (Do not delete)'!$A$7:$K$656,5,FALSE))</f>
        <v>186412</v>
      </c>
      <c r="D80" s="65" t="s">
        <v>76</v>
      </c>
      <c r="E80" s="65" t="s">
        <v>137</v>
      </c>
      <c r="F80" s="79"/>
      <c r="G80" s="61">
        <v>0</v>
      </c>
      <c r="H80" s="56">
        <v>0</v>
      </c>
      <c r="I80" s="56"/>
      <c r="J80" s="56">
        <v>0</v>
      </c>
      <c r="K80" s="56">
        <v>0</v>
      </c>
      <c r="L80" s="56">
        <v>0</v>
      </c>
      <c r="M80" s="61">
        <f t="shared" si="7"/>
        <v>0</v>
      </c>
      <c r="N80" s="56">
        <f>IF(ISNA(VLOOKUP($B80,'[2]Current Provision - HYP'!$A$10:$BQ$201,$E$5,FALSE))=TRUE,0,VLOOKUP($B80,'[2]Current Provision - HYP'!$A$10:$BQ$201,$E$5,FALSE))</f>
        <v>0</v>
      </c>
      <c r="O80" s="56">
        <v>0</v>
      </c>
      <c r="P80" s="58">
        <v>0</v>
      </c>
      <c r="Q80" s="58">
        <v>0</v>
      </c>
      <c r="R80" s="58">
        <v>0</v>
      </c>
      <c r="S80" s="61">
        <f t="shared" si="8"/>
        <v>0</v>
      </c>
      <c r="T80" s="56"/>
      <c r="U80" s="63">
        <f t="shared" si="9"/>
        <v>0</v>
      </c>
      <c r="V80" s="56">
        <f t="shared" si="10"/>
        <v>0</v>
      </c>
      <c r="W80" s="64">
        <f t="shared" si="11"/>
        <v>0</v>
      </c>
      <c r="Z80" s="279">
        <f t="shared" si="12"/>
        <v>0</v>
      </c>
    </row>
    <row r="81" spans="1:26">
      <c r="A81" s="74" t="s">
        <v>167</v>
      </c>
      <c r="B81" s="75" t="str">
        <f>IF(ISNA(VLOOKUP($A81,'[2]Coding (Do not delete)'!$A$7:$K$656,3,FALSE))=TRUE,0,VLOOKUP($A81,'[2]Coding (Do not delete)'!$A$7:$K$656,8,FALSE))</f>
        <v>JE#  ZZ41  Def Hist-Purchased Water Outside a/c-186412</v>
      </c>
      <c r="C81" s="65">
        <f>IF(ISNA(VLOOKUP($A81,'[2]Coding (Do not delete)'!$A$7:$K$656,5,FALSE))=TRUE,0,VLOOKUP($A81,'[2]Coding (Do not delete)'!$A$7:$K$656,5,FALSE))</f>
        <v>186412</v>
      </c>
      <c r="D81" s="65" t="s">
        <v>76</v>
      </c>
      <c r="E81" s="65" t="s">
        <v>137</v>
      </c>
      <c r="F81" s="79"/>
      <c r="G81" s="61">
        <v>0</v>
      </c>
      <c r="H81" s="56">
        <v>0</v>
      </c>
      <c r="I81" s="56"/>
      <c r="J81" s="56">
        <v>0</v>
      </c>
      <c r="K81" s="56">
        <v>0</v>
      </c>
      <c r="L81" s="56">
        <v>0</v>
      </c>
      <c r="M81" s="61">
        <f t="shared" si="7"/>
        <v>0</v>
      </c>
      <c r="N81" s="56">
        <f>IF(ISNA(VLOOKUP($B81,'[2]Current Provision - HYP'!$A$10:$BQ$201,$E$5,FALSE))=TRUE,0,VLOOKUP($B81,'[2]Current Provision - HYP'!$A$10:$BQ$201,$E$5,FALSE))</f>
        <v>0</v>
      </c>
      <c r="O81" s="56">
        <v>0</v>
      </c>
      <c r="P81" s="58">
        <v>0</v>
      </c>
      <c r="Q81" s="58">
        <v>0</v>
      </c>
      <c r="R81" s="58">
        <v>0</v>
      </c>
      <c r="S81" s="61">
        <f t="shared" si="8"/>
        <v>0</v>
      </c>
      <c r="T81" s="56"/>
      <c r="U81" s="63">
        <f t="shared" si="9"/>
        <v>0</v>
      </c>
      <c r="V81" s="56">
        <f t="shared" si="10"/>
        <v>0</v>
      </c>
      <c r="W81" s="64">
        <f t="shared" si="11"/>
        <v>0</v>
      </c>
      <c r="X81" s="58"/>
      <c r="Z81" s="279">
        <f t="shared" si="12"/>
        <v>0</v>
      </c>
    </row>
    <row r="82" spans="1:26" ht="15">
      <c r="A82" s="74" t="s">
        <v>168</v>
      </c>
      <c r="B82" s="75" t="str">
        <f>IF(ISNA(VLOOKUP($A82,'[2]Coding (Do not delete)'!$A$7:$K$656,3,FALSE))=TRUE,0,VLOOKUP($A82,'[2]Coding (Do not delete)'!$A$7:$K$656,8,FALSE))</f>
        <v>JE#  T190  Deferred Business Change Costs</v>
      </c>
      <c r="C82" s="54">
        <f>IF(ISNA(VLOOKUP($A82,'[2]Coding (Do not delete)'!$A$7:$K$656,5,FALSE))=TRUE,0,VLOOKUP($A82,'[2]Coding (Do not delete)'!$A$7:$K$656,5,FALSE))</f>
        <v>186414</v>
      </c>
      <c r="D82" s="54" t="s">
        <v>68</v>
      </c>
      <c r="E82" s="54" t="s">
        <v>169</v>
      </c>
      <c r="F82" s="79"/>
      <c r="G82" s="61">
        <v>0</v>
      </c>
      <c r="H82" s="56">
        <v>0</v>
      </c>
      <c r="I82" s="56"/>
      <c r="J82" s="56">
        <v>0</v>
      </c>
      <c r="K82" s="56">
        <v>0</v>
      </c>
      <c r="L82" s="56">
        <v>0</v>
      </c>
      <c r="M82" s="61">
        <f t="shared" si="7"/>
        <v>0</v>
      </c>
      <c r="N82" s="56">
        <f>IF(ISNA(VLOOKUP($B82,'[2]Current Provision - HYP'!$A$10:$BQ$201,$E$5,FALSE))=TRUE,0,VLOOKUP($B82,'[2]Current Provision - HYP'!$A$10:$BQ$201,$E$5,FALSE))</f>
        <v>0</v>
      </c>
      <c r="O82" s="56">
        <v>0</v>
      </c>
      <c r="P82" s="58">
        <v>0</v>
      </c>
      <c r="Q82" s="58">
        <v>0</v>
      </c>
      <c r="R82" s="58">
        <v>0</v>
      </c>
      <c r="S82" s="61">
        <f t="shared" si="8"/>
        <v>0</v>
      </c>
      <c r="T82" s="56"/>
      <c r="U82" s="63">
        <f t="shared" si="9"/>
        <v>0</v>
      </c>
      <c r="V82" s="56">
        <f t="shared" si="10"/>
        <v>0</v>
      </c>
      <c r="W82" s="64">
        <f t="shared" si="11"/>
        <v>0</v>
      </c>
      <c r="X82" s="77"/>
      <c r="Y82" s="77"/>
      <c r="Z82" s="280">
        <f t="shared" si="12"/>
        <v>0</v>
      </c>
    </row>
    <row r="83" spans="1:26" ht="15">
      <c r="A83" s="74" t="s">
        <v>170</v>
      </c>
      <c r="B83" s="75" t="str">
        <f>IF(ISNA(VLOOKUP($A83,'[2]Coding (Do not delete)'!$A$7:$K$656,3,FALSE))=TRUE,0,VLOOKUP($A83,'[2]Coding (Do not delete)'!$A$7:$K$656,8,FALSE))</f>
        <v>JE#  T191  Deferred IMO Costs</v>
      </c>
      <c r="C83" s="54">
        <f>IF(ISNA(VLOOKUP($A83,'[2]Coding (Do not delete)'!$A$7:$K$656,5,FALSE))=TRUE,0,VLOOKUP($A83,'[2]Coding (Do not delete)'!$A$7:$K$656,5,FALSE))</f>
        <v>186415</v>
      </c>
      <c r="D83" s="54" t="s">
        <v>68</v>
      </c>
      <c r="E83" s="54" t="s">
        <v>169</v>
      </c>
      <c r="F83" s="79"/>
      <c r="G83" s="61">
        <v>0</v>
      </c>
      <c r="H83" s="56">
        <v>0</v>
      </c>
      <c r="I83" s="56"/>
      <c r="J83" s="56">
        <v>0</v>
      </c>
      <c r="K83" s="56">
        <v>0</v>
      </c>
      <c r="L83" s="56">
        <v>0</v>
      </c>
      <c r="M83" s="61">
        <f t="shared" si="7"/>
        <v>0</v>
      </c>
      <c r="N83" s="56">
        <f>IF(ISNA(VLOOKUP($B83,'[2]Current Provision - HYP'!$A$10:$BQ$201,$E$5,FALSE))=TRUE,0,VLOOKUP($B83,'[2]Current Provision - HYP'!$A$10:$BQ$201,$E$5,FALSE))</f>
        <v>0</v>
      </c>
      <c r="O83" s="56">
        <v>0</v>
      </c>
      <c r="P83" s="58">
        <v>0</v>
      </c>
      <c r="Q83" s="58">
        <v>0</v>
      </c>
      <c r="R83" s="58">
        <v>0</v>
      </c>
      <c r="S83" s="61">
        <f t="shared" si="8"/>
        <v>0</v>
      </c>
      <c r="T83" s="56"/>
      <c r="U83" s="63">
        <f t="shared" si="9"/>
        <v>0</v>
      </c>
      <c r="V83" s="56">
        <f t="shared" si="10"/>
        <v>0</v>
      </c>
      <c r="W83" s="64">
        <f t="shared" si="11"/>
        <v>0</v>
      </c>
      <c r="X83" s="77"/>
      <c r="Y83" s="77"/>
      <c r="Z83" s="280">
        <f t="shared" si="12"/>
        <v>0</v>
      </c>
    </row>
    <row r="84" spans="1:26" ht="15">
      <c r="A84" s="74" t="s">
        <v>171</v>
      </c>
      <c r="B84" s="75" t="str">
        <f>IF(ISNA(VLOOKUP($A84,'[2]Coding (Do not delete)'!$A$7:$K$656,3,FALSE))=TRUE,0,VLOOKUP($A84,'[2]Coding (Do not delete)'!$A$7:$K$656,8,FALSE))</f>
        <v>JE#  T140  Accrued OPEB (OPEB 1)</v>
      </c>
      <c r="C84" s="54">
        <f>IF(ISNA(VLOOKUP($A84,'[2]Coding (Do not delete)'!$A$7:$K$656,5,FALSE))=TRUE,0,VLOOKUP($A84,'[2]Coding (Do not delete)'!$A$7:$K$656,5,FALSE))</f>
        <v>186417</v>
      </c>
      <c r="D84" s="54" t="s">
        <v>172</v>
      </c>
      <c r="E84" s="54" t="s">
        <v>173</v>
      </c>
      <c r="F84" s="79"/>
      <c r="G84" s="61">
        <v>310405.14</v>
      </c>
      <c r="H84" s="56">
        <v>-43458.1</v>
      </c>
      <c r="I84" s="56"/>
      <c r="J84" s="56">
        <v>0</v>
      </c>
      <c r="K84" s="56">
        <v>0</v>
      </c>
      <c r="L84" s="56">
        <v>0</v>
      </c>
      <c r="M84" s="61">
        <f t="shared" si="7"/>
        <v>266947.04000000004</v>
      </c>
      <c r="N84" s="56">
        <f>IF(ISNA(VLOOKUP($B84,'[2]Current Provision - HYP'!$A$10:$BQ$201,$E$5,FALSE))=TRUE,0,VLOOKUP($B84,'[2]Current Provision - HYP'!$A$10:$BQ$201,$E$5,FALSE))</f>
        <v>134014.39855499379</v>
      </c>
      <c r="O84" s="56">
        <v>0</v>
      </c>
      <c r="P84" s="58">
        <v>0</v>
      </c>
      <c r="Q84" s="58">
        <v>0</v>
      </c>
      <c r="R84" s="58">
        <v>0</v>
      </c>
      <c r="S84" s="61">
        <f t="shared" si="8"/>
        <v>400961.43855499383</v>
      </c>
      <c r="T84" s="56"/>
      <c r="U84" s="63">
        <f t="shared" si="9"/>
        <v>155973.99959789257</v>
      </c>
      <c r="V84" s="56">
        <f t="shared" si="10"/>
        <v>0</v>
      </c>
      <c r="W84" s="64">
        <f t="shared" si="11"/>
        <v>155973.99959789257</v>
      </c>
      <c r="X84" s="77"/>
      <c r="Y84" s="77"/>
      <c r="Z84" s="280">
        <f t="shared" si="12"/>
        <v>0</v>
      </c>
    </row>
    <row r="85" spans="1:26" ht="15">
      <c r="A85" s="74" t="s">
        <v>174</v>
      </c>
      <c r="B85" s="75" t="str">
        <f>IF(ISNA(VLOOKUP($A85,'[2]Coding (Do not delete)'!$A$7:$K$656,3,FALSE))=TRUE,0,VLOOKUP($A85,'[2]Coding (Do not delete)'!$A$7:$K$656,8,FALSE))</f>
        <v>JE#  T130  Regulatory Pension (Pension 1)</v>
      </c>
      <c r="C85" s="54">
        <f>IF(ISNA(VLOOKUP($A85,'[2]Coding (Do not delete)'!$A$7:$K$656,5,FALSE))=TRUE,0,VLOOKUP($A85,'[2]Coding (Do not delete)'!$A$7:$K$656,5,FALSE))</f>
        <v>186422</v>
      </c>
      <c r="D85" s="54" t="s">
        <v>175</v>
      </c>
      <c r="E85" s="54" t="s">
        <v>176</v>
      </c>
      <c r="F85" s="79"/>
      <c r="G85" s="61">
        <v>-1685431.73</v>
      </c>
      <c r="H85" s="56">
        <v>192468</v>
      </c>
      <c r="I85" s="56"/>
      <c r="J85" s="56">
        <v>0</v>
      </c>
      <c r="K85" s="56">
        <v>0</v>
      </c>
      <c r="L85" s="56">
        <v>0</v>
      </c>
      <c r="M85" s="61">
        <f t="shared" si="7"/>
        <v>-1492963.73</v>
      </c>
      <c r="N85" s="56">
        <f>IF(ISNA(VLOOKUP($B85,'[2]Current Provision - HYP'!$A$10:$BQ$201,$E$5,FALSE))=TRUE,0,VLOOKUP($B85,'[2]Current Provision - HYP'!$A$10:$BQ$201,$E$5,FALSE))</f>
        <v>-905569</v>
      </c>
      <c r="O85" s="56">
        <v>0</v>
      </c>
      <c r="P85" s="58">
        <v>0</v>
      </c>
      <c r="Q85" s="58">
        <v>0</v>
      </c>
      <c r="R85" s="58">
        <v>0</v>
      </c>
      <c r="S85" s="61">
        <f t="shared" si="8"/>
        <v>-2398532.73</v>
      </c>
      <c r="T85" s="56"/>
      <c r="U85" s="63">
        <f t="shared" si="9"/>
        <v>0</v>
      </c>
      <c r="V85" s="56">
        <f t="shared" si="10"/>
        <v>933029.23196999985</v>
      </c>
      <c r="W85" s="64">
        <f t="shared" si="11"/>
        <v>-933029.23196999985</v>
      </c>
      <c r="X85" s="77"/>
      <c r="Y85" s="77"/>
      <c r="Z85" s="280">
        <f t="shared" si="12"/>
        <v>0</v>
      </c>
    </row>
    <row r="86" spans="1:26">
      <c r="A86" s="74" t="s">
        <v>177</v>
      </c>
      <c r="B86" s="75" t="str">
        <f>IF(ISNA(VLOOKUP($A86,'[2]Coding (Do not delete)'!$A$7:$K$656,3,FALSE))=TRUE,0,VLOOKUP($A86,'[2]Coding (Do not delete)'!$A$7:$K$656,8,FALSE))</f>
        <v>JE#  ZZ13  Def Hist - Reg Pension a/c 186422</v>
      </c>
      <c r="C86" s="54">
        <f>IF(ISNA(VLOOKUP($A86,'[2]Coding (Do not delete)'!$A$7:$K$656,5,FALSE))=TRUE,0,VLOOKUP($A86,'[2]Coding (Do not delete)'!$A$7:$K$656,5,FALSE))</f>
        <v>186422</v>
      </c>
      <c r="D86" s="54" t="s">
        <v>175</v>
      </c>
      <c r="E86" s="54" t="s">
        <v>176</v>
      </c>
      <c r="F86" s="79"/>
      <c r="G86" s="61">
        <v>0</v>
      </c>
      <c r="H86" s="56">
        <v>0</v>
      </c>
      <c r="I86" s="56"/>
      <c r="J86" s="56">
        <v>0</v>
      </c>
      <c r="K86" s="56">
        <v>0</v>
      </c>
      <c r="L86" s="56">
        <v>0</v>
      </c>
      <c r="M86" s="61">
        <f t="shared" si="7"/>
        <v>0</v>
      </c>
      <c r="N86" s="56">
        <f>IF(ISNA(VLOOKUP($B86,'[2]Current Provision - HYP'!$A$10:$BQ$201,$E$5,FALSE))=TRUE,0,VLOOKUP($B86,'[2]Current Provision - HYP'!$A$10:$BQ$201,$E$5,FALSE))</f>
        <v>0</v>
      </c>
      <c r="O86" s="56">
        <v>0</v>
      </c>
      <c r="P86" s="58">
        <v>0</v>
      </c>
      <c r="Q86" s="58">
        <v>0</v>
      </c>
      <c r="R86" s="58">
        <v>0</v>
      </c>
      <c r="S86" s="61">
        <f t="shared" si="8"/>
        <v>0</v>
      </c>
      <c r="T86" s="56"/>
      <c r="U86" s="63">
        <f t="shared" si="9"/>
        <v>0</v>
      </c>
      <c r="V86" s="56">
        <f t="shared" si="10"/>
        <v>0</v>
      </c>
      <c r="W86" s="64">
        <f t="shared" si="11"/>
        <v>0</v>
      </c>
      <c r="X86" s="58"/>
      <c r="Z86" s="279">
        <f t="shared" si="12"/>
        <v>0</v>
      </c>
    </row>
    <row r="87" spans="1:26" ht="13.5" customHeight="1">
      <c r="A87" s="74" t="s">
        <v>178</v>
      </c>
      <c r="B87" s="75" t="str">
        <f>IF(ISNA(VLOOKUP($A87,'[2]Coding (Do not delete)'!$A$7:$K$656,3,FALSE))=TRUE,0,VLOOKUP($A87,'[2]Coding (Do not delete)'!$A$7:$K$656,8,FALSE))</f>
        <v>JE#  T090  Depreciation Study</v>
      </c>
      <c r="C87" s="65">
        <f>IF(ISNA(VLOOKUP($A87,'[2]Coding (Do not delete)'!$A$7:$K$656,5,FALSE))=TRUE,0,VLOOKUP($A87,'[2]Coding (Do not delete)'!$A$7:$K$656,5,FALSE))</f>
        <v>186431</v>
      </c>
      <c r="D87" s="65" t="s">
        <v>93</v>
      </c>
      <c r="E87" s="65" t="s">
        <v>137</v>
      </c>
      <c r="F87" s="79"/>
      <c r="G87" s="61">
        <v>-17503</v>
      </c>
      <c r="H87" s="56">
        <v>0</v>
      </c>
      <c r="I87" s="56"/>
      <c r="J87" s="56">
        <v>0</v>
      </c>
      <c r="K87" s="56">
        <v>0</v>
      </c>
      <c r="L87" s="56">
        <v>0</v>
      </c>
      <c r="M87" s="61">
        <f t="shared" si="7"/>
        <v>-17503</v>
      </c>
      <c r="N87" s="56">
        <f>IF(ISNA(VLOOKUP($B87,'[2]Current Provision - HYP'!$A$10:$BQ$201,$E$5,FALSE))=TRUE,0,VLOOKUP($B87,'[2]Current Provision - HYP'!$A$10:$BQ$201,$E$5,FALSE))</f>
        <v>-17678</v>
      </c>
      <c r="O87" s="56">
        <v>0</v>
      </c>
      <c r="P87" s="58">
        <v>0</v>
      </c>
      <c r="Q87" s="58">
        <v>0</v>
      </c>
      <c r="R87" s="58">
        <v>0</v>
      </c>
      <c r="S87" s="61">
        <f t="shared" si="8"/>
        <v>-35181</v>
      </c>
      <c r="T87" s="56"/>
      <c r="U87" s="63">
        <f t="shared" si="9"/>
        <v>0</v>
      </c>
      <c r="V87" s="56">
        <f t="shared" si="10"/>
        <v>13685.408999999998</v>
      </c>
      <c r="W87" s="64">
        <f t="shared" si="11"/>
        <v>-13685.408999999998</v>
      </c>
      <c r="Z87" s="279">
        <f t="shared" si="12"/>
        <v>0</v>
      </c>
    </row>
    <row r="88" spans="1:26">
      <c r="A88" s="74" t="s">
        <v>179</v>
      </c>
      <c r="B88" s="75" t="str">
        <f>IF(ISNA(VLOOKUP($A88,'[2]Coding (Do not delete)'!$A$7:$K$656,3,FALSE))=TRUE,0,VLOOKUP($A88,'[2]Coding (Do not delete)'!$A$7:$K$656,8,FALSE))</f>
        <v>JE#  T095  Cost of Service Study</v>
      </c>
      <c r="C88" s="54">
        <f>IF(ISNA(VLOOKUP($A88,'[2]Coding (Do not delete)'!$A$7:$K$656,5,FALSE))=TRUE,0,VLOOKUP($A88,'[2]Coding (Do not delete)'!$A$7:$K$656,5,FALSE))</f>
        <v>186432</v>
      </c>
      <c r="D88" s="54" t="s">
        <v>76</v>
      </c>
      <c r="E88" s="54" t="s">
        <v>137</v>
      </c>
      <c r="F88" s="79"/>
      <c r="G88" s="61">
        <v>-20402</v>
      </c>
      <c r="H88" s="56">
        <v>0</v>
      </c>
      <c r="I88" s="56"/>
      <c r="J88" s="56">
        <v>0</v>
      </c>
      <c r="K88" s="56">
        <v>0</v>
      </c>
      <c r="L88" s="56">
        <v>0</v>
      </c>
      <c r="M88" s="61">
        <f t="shared" si="7"/>
        <v>-20402</v>
      </c>
      <c r="N88" s="56">
        <f>IF(ISNA(VLOOKUP($B88,'[2]Current Provision - HYP'!$A$10:$BQ$201,$E$5,FALSE))=TRUE,0,VLOOKUP($B88,'[2]Current Provision - HYP'!$A$10:$BQ$201,$E$5,FALSE))</f>
        <v>1874</v>
      </c>
      <c r="O88" s="56">
        <v>0</v>
      </c>
      <c r="P88" s="58">
        <v>0</v>
      </c>
      <c r="Q88" s="58">
        <v>0</v>
      </c>
      <c r="R88" s="58">
        <v>0</v>
      </c>
      <c r="S88" s="61">
        <f t="shared" si="8"/>
        <v>-18528</v>
      </c>
      <c r="T88" s="56"/>
      <c r="U88" s="63">
        <f t="shared" si="9"/>
        <v>0</v>
      </c>
      <c r="V88" s="56">
        <f t="shared" si="10"/>
        <v>7207.3919999999989</v>
      </c>
      <c r="W88" s="64">
        <f t="shared" si="11"/>
        <v>-7207.3919999999989</v>
      </c>
      <c r="Z88" s="279">
        <f t="shared" si="12"/>
        <v>0</v>
      </c>
    </row>
    <row r="89" spans="1:26" ht="15">
      <c r="A89" s="74" t="s">
        <v>180</v>
      </c>
      <c r="B89" s="75" t="str">
        <f>IF(ISNA(VLOOKUP($A89,'[2]Coding (Do not delete)'!$A$7:$K$656,3,FALSE))=TRUE,0,VLOOKUP($A89,'[2]Coding (Do not delete)'!$A$7:$K$656,8,FALSE))</f>
        <v>JE#  T150  Post AFUDC (P AFUDC 1)</v>
      </c>
      <c r="C89" s="54">
        <f>IF(ISNA(VLOOKUP($A89,'[2]Coding (Do not delete)'!$A$7:$K$656,5,FALSE))=TRUE,0,VLOOKUP($A89,'[2]Coding (Do not delete)'!$A$7:$K$656,5,FALSE))</f>
        <v>186434</v>
      </c>
      <c r="D89" s="54" t="s">
        <v>93</v>
      </c>
      <c r="E89" s="54" t="s">
        <v>90</v>
      </c>
      <c r="F89" s="79"/>
      <c r="G89" s="61">
        <v>0</v>
      </c>
      <c r="H89" s="56">
        <v>0</v>
      </c>
      <c r="I89" s="56"/>
      <c r="J89" s="56">
        <v>0</v>
      </c>
      <c r="K89" s="56">
        <v>0</v>
      </c>
      <c r="L89" s="56">
        <v>0</v>
      </c>
      <c r="M89" s="61">
        <f t="shared" si="7"/>
        <v>0</v>
      </c>
      <c r="N89" s="56">
        <f>IF(ISNA(VLOOKUP($B89,'[2]Current Provision - HYP'!$A$10:$BQ$201,$E$5,FALSE))=TRUE,0,VLOOKUP($B89,'[2]Current Provision - HYP'!$A$10:$BQ$201,$E$5,FALSE))</f>
        <v>0</v>
      </c>
      <c r="O89" s="56">
        <v>0</v>
      </c>
      <c r="P89" s="58">
        <v>0</v>
      </c>
      <c r="Q89" s="58">
        <v>0</v>
      </c>
      <c r="R89" s="58">
        <v>0</v>
      </c>
      <c r="S89" s="61">
        <f t="shared" si="8"/>
        <v>0</v>
      </c>
      <c r="T89" s="56"/>
      <c r="U89" s="63">
        <f t="shared" si="9"/>
        <v>0</v>
      </c>
      <c r="V89" s="56">
        <f t="shared" si="10"/>
        <v>0</v>
      </c>
      <c r="W89" s="64">
        <f t="shared" si="11"/>
        <v>0</v>
      </c>
      <c r="X89" s="77"/>
      <c r="Y89" s="77"/>
      <c r="Z89" s="280">
        <f t="shared" si="12"/>
        <v>0</v>
      </c>
    </row>
    <row r="90" spans="1:26">
      <c r="A90" s="74" t="s">
        <v>181</v>
      </c>
      <c r="B90" s="75" t="str">
        <f>IF(ISNA(VLOOKUP($A90,'[2]Coding (Do not delete)'!$A$7:$K$656,3,FALSE))=TRUE,0,VLOOKUP($A90,'[2]Coding (Do not delete)'!$A$7:$K$656,8,FALSE))</f>
        <v>JE#  T046  Post In-Service Depreciation Expense (Depr 2)</v>
      </c>
      <c r="C90" s="65">
        <f>IF(ISNA(VLOOKUP($A90,'[2]Coding (Do not delete)'!$A$7:$K$656,5,FALSE))=TRUE,0,VLOOKUP($A90,'[2]Coding (Do not delete)'!$A$7:$K$656,5,FALSE))</f>
        <v>186435</v>
      </c>
      <c r="D90" s="65" t="s">
        <v>93</v>
      </c>
      <c r="E90" s="65" t="s">
        <v>90</v>
      </c>
      <c r="F90" s="79"/>
      <c r="G90" s="61">
        <v>0</v>
      </c>
      <c r="H90" s="56">
        <v>0</v>
      </c>
      <c r="I90" s="56"/>
      <c r="J90" s="56">
        <v>0</v>
      </c>
      <c r="K90" s="56">
        <v>0</v>
      </c>
      <c r="L90" s="56">
        <v>0</v>
      </c>
      <c r="M90" s="61">
        <f t="shared" si="7"/>
        <v>0</v>
      </c>
      <c r="N90" s="56">
        <f>IF(ISNA(VLOOKUP($B90,'[2]Current Provision - HYP'!$A$10:$BQ$201,$E$5,FALSE))=TRUE,0,VLOOKUP($B90,'[2]Current Provision - HYP'!$A$10:$BQ$201,$E$5,FALSE))</f>
        <v>0</v>
      </c>
      <c r="O90" s="56">
        <v>0</v>
      </c>
      <c r="P90" s="58">
        <v>0</v>
      </c>
      <c r="Q90" s="58">
        <v>0</v>
      </c>
      <c r="R90" s="58">
        <v>0</v>
      </c>
      <c r="S90" s="61">
        <f t="shared" si="8"/>
        <v>0</v>
      </c>
      <c r="T90" s="56"/>
      <c r="U90" s="63">
        <f t="shared" si="9"/>
        <v>0</v>
      </c>
      <c r="V90" s="56">
        <f t="shared" si="10"/>
        <v>0</v>
      </c>
      <c r="W90" s="64">
        <f t="shared" si="11"/>
        <v>0</v>
      </c>
      <c r="Z90" s="279">
        <f t="shared" si="12"/>
        <v>0</v>
      </c>
    </row>
    <row r="91" spans="1:26" ht="15">
      <c r="A91" s="74" t="s">
        <v>182</v>
      </c>
      <c r="B91" s="75" t="str">
        <f>IF(ISNA(VLOOKUP($A91,'[2]Coding (Do not delete)'!$A$7:$K$656,3,FALSE))=TRUE,0,VLOOKUP($A91,'[2]Coding (Do not delete)'!$A$7:$K$656,8,FALSE))</f>
        <v>JE#  T110  Waste Disposal</v>
      </c>
      <c r="C91" s="54">
        <f>IF(ISNA(VLOOKUP($A91,'[2]Coding (Do not delete)'!$A$7:$K$656,5,FALSE))=TRUE,0,VLOOKUP($A91,'[2]Coding (Do not delete)'!$A$7:$K$656,5,FALSE))</f>
        <v>186444</v>
      </c>
      <c r="D91" s="54" t="s">
        <v>76</v>
      </c>
      <c r="E91" s="54" t="s">
        <v>137</v>
      </c>
      <c r="F91" s="79"/>
      <c r="G91" s="61">
        <v>-130777</v>
      </c>
      <c r="H91" s="56">
        <v>0</v>
      </c>
      <c r="I91" s="56"/>
      <c r="J91" s="56">
        <v>0</v>
      </c>
      <c r="K91" s="56">
        <v>0</v>
      </c>
      <c r="L91" s="56">
        <v>0</v>
      </c>
      <c r="M91" s="61">
        <f t="shared" si="7"/>
        <v>-130777</v>
      </c>
      <c r="N91" s="56">
        <f>IF(ISNA(VLOOKUP($B91,'[2]Current Provision - HYP'!$A$10:$BQ$201,$E$5,FALSE))=TRUE,0,VLOOKUP($B91,'[2]Current Provision - HYP'!$A$10:$BQ$201,$E$5,FALSE))</f>
        <v>92313</v>
      </c>
      <c r="O91" s="56">
        <v>0</v>
      </c>
      <c r="P91" s="58">
        <v>0</v>
      </c>
      <c r="Q91" s="58">
        <v>0</v>
      </c>
      <c r="R91" s="58">
        <v>0</v>
      </c>
      <c r="S91" s="61">
        <f t="shared" si="8"/>
        <v>-38464</v>
      </c>
      <c r="T91" s="56"/>
      <c r="U91" s="63">
        <f t="shared" si="9"/>
        <v>0</v>
      </c>
      <c r="V91" s="56">
        <f t="shared" si="10"/>
        <v>14962.495999999999</v>
      </c>
      <c r="W91" s="64">
        <f t="shared" si="11"/>
        <v>-14962.495999999999</v>
      </c>
      <c r="X91" s="77"/>
      <c r="Y91" s="77"/>
      <c r="Z91" s="280">
        <f t="shared" si="12"/>
        <v>0</v>
      </c>
    </row>
    <row r="92" spans="1:26" ht="15">
      <c r="A92" s="74" t="s">
        <v>183</v>
      </c>
      <c r="B92" s="75" t="str">
        <f>IF(ISNA(VLOOKUP($A92,'[2]Coding (Do not delete)'!$A$7:$K$656,3,FALSE))=TRUE,0,VLOOKUP($A92,'[2]Coding (Do not delete)'!$A$7:$K$656,8,FALSE))</f>
        <v>JE#  T105  Management Study</v>
      </c>
      <c r="C92" s="54">
        <f>IF(ISNA(VLOOKUP($A92,'[2]Coding (Do not delete)'!$A$7:$K$656,5,FALSE))=TRUE,0,VLOOKUP($A92,'[2]Coding (Do not delete)'!$A$7:$K$656,5,FALSE))</f>
        <v>186453</v>
      </c>
      <c r="D92" s="54" t="s">
        <v>76</v>
      </c>
      <c r="E92" s="54" t="s">
        <v>137</v>
      </c>
      <c r="F92" s="79"/>
      <c r="G92" s="61">
        <v>0</v>
      </c>
      <c r="H92" s="56">
        <v>0</v>
      </c>
      <c r="I92" s="56"/>
      <c r="J92" s="56">
        <v>0</v>
      </c>
      <c r="K92" s="56">
        <v>0</v>
      </c>
      <c r="L92" s="56">
        <v>0</v>
      </c>
      <c r="M92" s="61">
        <f t="shared" si="7"/>
        <v>0</v>
      </c>
      <c r="N92" s="56">
        <f>IF(ISNA(VLOOKUP($B92,'[2]Current Provision - HYP'!$A$10:$BQ$201,$E$5,FALSE))=TRUE,0,VLOOKUP($B92,'[2]Current Provision - HYP'!$A$10:$BQ$201,$E$5,FALSE))</f>
        <v>0</v>
      </c>
      <c r="O92" s="56">
        <v>0</v>
      </c>
      <c r="P92" s="58">
        <v>0</v>
      </c>
      <c r="Q92" s="58">
        <v>0</v>
      </c>
      <c r="R92" s="58">
        <v>0</v>
      </c>
      <c r="S92" s="61">
        <f t="shared" si="8"/>
        <v>0</v>
      </c>
      <c r="T92" s="56"/>
      <c r="U92" s="63">
        <f t="shared" si="9"/>
        <v>0</v>
      </c>
      <c r="V92" s="56">
        <f t="shared" si="10"/>
        <v>0</v>
      </c>
      <c r="W92" s="64">
        <f t="shared" si="11"/>
        <v>0</v>
      </c>
      <c r="X92" s="77"/>
      <c r="Y92" s="77"/>
      <c r="Z92" s="280">
        <f t="shared" si="12"/>
        <v>0</v>
      </c>
    </row>
    <row r="93" spans="1:26" ht="15">
      <c r="A93" s="74" t="s">
        <v>184</v>
      </c>
      <c r="B93" s="75" t="str">
        <f>IF(ISNA(VLOOKUP($A93,'[2]Coding (Do not delete)'!$A$7:$K$656,3,FALSE))=TRUE,0,VLOOKUP($A93,'[2]Coding (Do not delete)'!$A$7:$K$656,8,FALSE))</f>
        <v>JE#  T185  Deferred Security Costs</v>
      </c>
      <c r="C93" s="54">
        <f>IF(ISNA(VLOOKUP($A93,'[2]Coding (Do not delete)'!$A$7:$K$656,5,FALSE))=TRUE,0,VLOOKUP($A93,'[2]Coding (Do not delete)'!$A$7:$K$656,5,FALSE))</f>
        <v>186492</v>
      </c>
      <c r="D93" s="54" t="s">
        <v>185</v>
      </c>
      <c r="E93" s="54" t="s">
        <v>186</v>
      </c>
      <c r="F93" s="79"/>
      <c r="G93" s="61">
        <v>-0.10000000009313226</v>
      </c>
      <c r="H93" s="56">
        <v>0</v>
      </c>
      <c r="I93" s="56"/>
      <c r="J93" s="56">
        <v>0</v>
      </c>
      <c r="K93" s="56">
        <v>0</v>
      </c>
      <c r="L93" s="56">
        <v>0</v>
      </c>
      <c r="M93" s="61">
        <f t="shared" si="7"/>
        <v>-0.10000000009313226</v>
      </c>
      <c r="N93" s="56">
        <f>IF(ISNA(VLOOKUP($B93,'[2]Current Provision - HYP'!$A$10:$BQ$201,$E$5,FALSE))=TRUE,0,VLOOKUP($B93,'[2]Current Provision - HYP'!$A$10:$BQ$201,$E$5,FALSE))</f>
        <v>0</v>
      </c>
      <c r="O93" s="56">
        <v>0</v>
      </c>
      <c r="P93" s="58">
        <v>0</v>
      </c>
      <c r="Q93" s="58">
        <v>0</v>
      </c>
      <c r="R93" s="58">
        <v>0</v>
      </c>
      <c r="S93" s="61">
        <f t="shared" si="8"/>
        <v>-0.10000000009313226</v>
      </c>
      <c r="T93" s="56"/>
      <c r="U93" s="63">
        <f t="shared" si="9"/>
        <v>0</v>
      </c>
      <c r="V93" s="56">
        <f t="shared" si="10"/>
        <v>3.8900000036228441E-2</v>
      </c>
      <c r="W93" s="64">
        <f t="shared" si="11"/>
        <v>-3.8900000036228441E-2</v>
      </c>
      <c r="X93" s="77"/>
      <c r="Y93" s="77"/>
      <c r="Z93" s="280">
        <f t="shared" si="12"/>
        <v>0</v>
      </c>
    </row>
    <row r="94" spans="1:26" ht="15">
      <c r="A94" s="74" t="s">
        <v>187</v>
      </c>
      <c r="B94" s="75" t="str">
        <f>IF(ISNA(VLOOKUP($A94,'[2]Coding (Do not delete)'!$A$7:$K$656,3,FALSE))=TRUE,0,VLOOKUP($A94,'[2]Coding (Do not delete)'!$A$7:$K$656,8,FALSE))</f>
        <v>JE#  U100  Deferred Security Offset</v>
      </c>
      <c r="C94" s="54">
        <f>IF(ISNA(VLOOKUP($A94,'[2]Coding (Do not delete)'!$A$7:$K$656,5,FALSE))=TRUE,0,VLOOKUP($A94,'[2]Coding (Do not delete)'!$A$7:$K$656,5,FALSE))</f>
        <v>186492</v>
      </c>
      <c r="D94" s="54" t="s">
        <v>185</v>
      </c>
      <c r="E94" s="54" t="s">
        <v>186</v>
      </c>
      <c r="F94" s="79"/>
      <c r="G94" s="61">
        <v>0</v>
      </c>
      <c r="H94" s="56">
        <v>0</v>
      </c>
      <c r="I94" s="56"/>
      <c r="J94" s="56">
        <v>0</v>
      </c>
      <c r="K94" s="56">
        <v>0</v>
      </c>
      <c r="L94" s="56">
        <v>0</v>
      </c>
      <c r="M94" s="61">
        <f t="shared" si="7"/>
        <v>0</v>
      </c>
      <c r="N94" s="56">
        <f>IF(ISNA(VLOOKUP($B94,'[2]Current Provision - HYP'!$A$10:$BQ$201,$E$5,FALSE))=TRUE,0,VLOOKUP($B94,'[2]Current Provision - HYP'!$A$10:$BQ$201,$E$5,FALSE))</f>
        <v>0</v>
      </c>
      <c r="O94" s="56">
        <v>0</v>
      </c>
      <c r="P94" s="58">
        <v>0</v>
      </c>
      <c r="Q94" s="58">
        <v>0</v>
      </c>
      <c r="R94" s="58">
        <v>0</v>
      </c>
      <c r="S94" s="61">
        <f t="shared" si="8"/>
        <v>0</v>
      </c>
      <c r="T94" s="56"/>
      <c r="U94" s="63">
        <f t="shared" si="9"/>
        <v>0</v>
      </c>
      <c r="V94" s="56">
        <f t="shared" si="10"/>
        <v>0</v>
      </c>
      <c r="W94" s="64">
        <f t="shared" si="11"/>
        <v>0</v>
      </c>
      <c r="X94" s="77"/>
      <c r="Y94" s="77"/>
      <c r="Z94" s="280">
        <f t="shared" si="12"/>
        <v>0</v>
      </c>
    </row>
    <row r="95" spans="1:26" ht="15">
      <c r="A95" s="74" t="s">
        <v>188</v>
      </c>
      <c r="B95" s="75" t="str">
        <f>IF(ISNA(VLOOKUP($A95,'[2]Coding (Do not delete)'!$A$7:$K$656,3,FALSE))=TRUE,0,VLOOKUP($A95,'[2]Coding (Do not delete)'!$A$7:$K$656,8,FALSE))</f>
        <v>JE#  T200  Transaction Costs</v>
      </c>
      <c r="C95" s="54">
        <f>IF(ISNA(VLOOKUP($A95,'[2]Coding (Do not delete)'!$A$7:$K$656,5,FALSE))=TRUE,0,VLOOKUP($A95,'[2]Coding (Do not delete)'!$A$7:$K$656,5,FALSE))</f>
        <v>210240</v>
      </c>
      <c r="D95" s="54" t="s">
        <v>76</v>
      </c>
      <c r="E95" s="54" t="s">
        <v>137</v>
      </c>
      <c r="F95" s="79"/>
      <c r="G95" s="61">
        <v>0</v>
      </c>
      <c r="H95" s="56">
        <v>0</v>
      </c>
      <c r="I95" s="56"/>
      <c r="J95" s="56">
        <v>0</v>
      </c>
      <c r="K95" s="56">
        <v>0</v>
      </c>
      <c r="L95" s="56">
        <v>0</v>
      </c>
      <c r="M95" s="61">
        <f t="shared" si="7"/>
        <v>0</v>
      </c>
      <c r="N95" s="56">
        <f>IF(ISNA(VLOOKUP($B95,'[2]Current Provision - HYP'!$A$10:$BQ$201,$E$5,FALSE))=TRUE,0,VLOOKUP($B95,'[2]Current Provision - HYP'!$A$10:$BQ$201,$E$5,FALSE))</f>
        <v>0</v>
      </c>
      <c r="O95" s="56">
        <v>0</v>
      </c>
      <c r="P95" s="58">
        <v>0</v>
      </c>
      <c r="Q95" s="58">
        <v>0</v>
      </c>
      <c r="R95" s="58">
        <v>0</v>
      </c>
      <c r="S95" s="61">
        <f t="shared" si="8"/>
        <v>0</v>
      </c>
      <c r="T95" s="56"/>
      <c r="U95" s="63">
        <f t="shared" si="9"/>
        <v>0</v>
      </c>
      <c r="V95" s="56">
        <f t="shared" si="10"/>
        <v>0</v>
      </c>
      <c r="W95" s="64">
        <f t="shared" si="11"/>
        <v>0</v>
      </c>
      <c r="X95" s="77"/>
      <c r="Y95" s="77"/>
      <c r="Z95" s="280">
        <f t="shared" si="12"/>
        <v>0</v>
      </c>
    </row>
    <row r="96" spans="1:26" ht="15">
      <c r="A96" s="74" t="s">
        <v>189</v>
      </c>
      <c r="B96" s="75" t="str">
        <f>IF(ISNA(VLOOKUP($A96,'[2]Coding (Do not delete)'!$A$7:$K$656,3,FALSE))=TRUE,0,VLOOKUP($A96,'[2]Coding (Do not delete)'!$A$7:$K$656,8,FALSE))</f>
        <v>JE#  Z015  Prov/Rtn Adj. -  From K-1-Other Income</v>
      </c>
      <c r="C96" s="54">
        <f>IF(ISNA(VLOOKUP($A96,'[2]Coding (Do not delete)'!$A$7:$K$656,5,FALSE))=TRUE,0,VLOOKUP($A96,'[2]Coding (Do not delete)'!$A$7:$K$656,5,FALSE))</f>
        <v>210240</v>
      </c>
      <c r="D96" s="54" t="s">
        <v>76</v>
      </c>
      <c r="E96" s="54" t="s">
        <v>137</v>
      </c>
      <c r="F96" s="79"/>
      <c r="G96" s="61">
        <v>0</v>
      </c>
      <c r="H96" s="56">
        <v>0</v>
      </c>
      <c r="I96" s="56"/>
      <c r="J96" s="56">
        <v>0</v>
      </c>
      <c r="K96" s="56">
        <v>0</v>
      </c>
      <c r="L96" s="56">
        <v>0</v>
      </c>
      <c r="M96" s="61">
        <f t="shared" si="7"/>
        <v>0</v>
      </c>
      <c r="N96" s="56">
        <f>IF(ISNA(VLOOKUP($B96,'[2]Current Provision - HYP'!$A$10:$BQ$201,$E$5,FALSE))=TRUE,0,VLOOKUP($B96,'[2]Current Provision - HYP'!$A$10:$BQ$201,$E$5,FALSE))</f>
        <v>0</v>
      </c>
      <c r="O96" s="56">
        <v>0</v>
      </c>
      <c r="P96" s="58">
        <v>0</v>
      </c>
      <c r="Q96" s="58">
        <v>0</v>
      </c>
      <c r="R96" s="58">
        <v>0</v>
      </c>
      <c r="S96" s="61">
        <f t="shared" si="8"/>
        <v>0</v>
      </c>
      <c r="T96" s="56"/>
      <c r="U96" s="63">
        <f t="shared" si="9"/>
        <v>0</v>
      </c>
      <c r="V96" s="56">
        <f t="shared" si="10"/>
        <v>0</v>
      </c>
      <c r="W96" s="64">
        <f t="shared" si="11"/>
        <v>0</v>
      </c>
      <c r="X96" s="77"/>
      <c r="Y96" s="77"/>
      <c r="Z96" s="280">
        <f t="shared" si="12"/>
        <v>0</v>
      </c>
    </row>
    <row r="97" spans="1:26" ht="15">
      <c r="A97" s="74" t="s">
        <v>190</v>
      </c>
      <c r="B97" s="75" t="str">
        <f>IF(ISNA(VLOOKUP($A97,'[2]Coding (Do not delete)'!$A$7:$K$656,3,FALSE))=TRUE,0,VLOOKUP($A97,'[2]Coding (Do not delete)'!$A$7:$K$656,8,FALSE))</f>
        <v>JE#  Z016  Prov/Rtn Adj. -  From K-1-interest income</v>
      </c>
      <c r="C97" s="54">
        <f>IF(ISNA(VLOOKUP($A97,'[2]Coding (Do not delete)'!$A$7:$K$656,5,FALSE))=TRUE,0,VLOOKUP($A97,'[2]Coding (Do not delete)'!$A$7:$K$656,5,FALSE))</f>
        <v>210240</v>
      </c>
      <c r="D97" s="54" t="s">
        <v>76</v>
      </c>
      <c r="E97" s="54" t="s">
        <v>137</v>
      </c>
      <c r="F97" s="79"/>
      <c r="G97" s="61">
        <v>0</v>
      </c>
      <c r="H97" s="56">
        <v>0</v>
      </c>
      <c r="I97" s="56"/>
      <c r="J97" s="56">
        <v>0</v>
      </c>
      <c r="K97" s="56">
        <v>0</v>
      </c>
      <c r="L97" s="56">
        <v>0</v>
      </c>
      <c r="M97" s="61">
        <f t="shared" si="7"/>
        <v>0</v>
      </c>
      <c r="N97" s="56">
        <f>IF(ISNA(VLOOKUP($B97,'[2]Current Provision - HYP'!$A$10:$BQ$201,$E$5,FALSE))=TRUE,0,VLOOKUP($B97,'[2]Current Provision - HYP'!$A$10:$BQ$201,$E$5,FALSE))</f>
        <v>0</v>
      </c>
      <c r="O97" s="56">
        <v>0</v>
      </c>
      <c r="P97" s="58">
        <v>0</v>
      </c>
      <c r="Q97" s="58">
        <v>0</v>
      </c>
      <c r="R97" s="58">
        <v>0</v>
      </c>
      <c r="S97" s="61">
        <f t="shared" si="8"/>
        <v>0</v>
      </c>
      <c r="T97" s="56"/>
      <c r="U97" s="63">
        <f t="shared" si="9"/>
        <v>0</v>
      </c>
      <c r="V97" s="56">
        <f t="shared" si="10"/>
        <v>0</v>
      </c>
      <c r="W97" s="64">
        <f t="shared" si="11"/>
        <v>0</v>
      </c>
      <c r="X97" s="77"/>
      <c r="Y97" s="77"/>
      <c r="Z97" s="280">
        <f t="shared" si="12"/>
        <v>0</v>
      </c>
    </row>
    <row r="98" spans="1:26" ht="15">
      <c r="A98" s="74" t="s">
        <v>191</v>
      </c>
      <c r="B98" s="75" t="str">
        <f>IF(ISNA(VLOOKUP($A98,'[2]Coding (Do not delete)'!$A$7:$K$656,3,FALSE))=TRUE,0,VLOOKUP($A98,'[2]Coding (Do not delete)'!$A$7:$K$656,8,FALSE))</f>
        <v>JE#  T115  Group Insurance</v>
      </c>
      <c r="C98" s="54">
        <f>IF(ISNA(VLOOKUP($A98,'[2]Coding (Do not delete)'!$A$7:$K$656,5,FALSE))=TRUE,0,VLOOKUP($A98,'[2]Coding (Do not delete)'!$A$7:$K$656,5,FALSE))</f>
        <v>241200</v>
      </c>
      <c r="D98" s="54" t="s">
        <v>76</v>
      </c>
      <c r="E98" s="54" t="s">
        <v>192</v>
      </c>
      <c r="F98" s="79"/>
      <c r="G98" s="61">
        <v>0</v>
      </c>
      <c r="H98" s="56">
        <v>0</v>
      </c>
      <c r="I98" s="56"/>
      <c r="J98" s="56">
        <v>0</v>
      </c>
      <c r="K98" s="56">
        <v>0</v>
      </c>
      <c r="L98" s="56">
        <v>0</v>
      </c>
      <c r="M98" s="61">
        <f t="shared" si="7"/>
        <v>0</v>
      </c>
      <c r="N98" s="56">
        <f>IF(ISNA(VLOOKUP($B98,'[2]Current Provision - HYP'!$A$10:$BQ$201,$E$5,FALSE))=TRUE,0,VLOOKUP($B98,'[2]Current Provision - HYP'!$A$10:$BQ$201,$E$5,FALSE))</f>
        <v>0</v>
      </c>
      <c r="O98" s="56">
        <v>0</v>
      </c>
      <c r="P98" s="58">
        <v>0</v>
      </c>
      <c r="Q98" s="58">
        <v>0</v>
      </c>
      <c r="R98" s="58">
        <v>0</v>
      </c>
      <c r="S98" s="61">
        <f t="shared" si="8"/>
        <v>0</v>
      </c>
      <c r="T98" s="56"/>
      <c r="U98" s="63">
        <f t="shared" si="9"/>
        <v>0</v>
      </c>
      <c r="V98" s="56">
        <f t="shared" si="10"/>
        <v>0</v>
      </c>
      <c r="W98" s="64">
        <f t="shared" si="11"/>
        <v>0</v>
      </c>
      <c r="X98" s="77"/>
      <c r="Y98" s="77"/>
      <c r="Z98" s="280">
        <f t="shared" si="12"/>
        <v>0</v>
      </c>
    </row>
    <row r="99" spans="1:26" ht="15">
      <c r="A99" s="74" t="s">
        <v>193</v>
      </c>
      <c r="B99" s="75" t="str">
        <f>IF(ISNA(VLOOKUP($A99,'[2]Coding (Do not delete)'!$A$7:$K$656,3,FALSE))=TRUE,0,VLOOKUP($A99,'[2]Coding (Do not delete)'!$A$7:$K$656,8,FALSE))</f>
        <v>JE#  ZZ38  Def Hist - Group Insurance - a/c 877205</v>
      </c>
      <c r="C99" s="54">
        <f>IF(ISNA(VLOOKUP($A99,'[2]Coding (Do not delete)'!$A$7:$K$656,5,FALSE))=TRUE,0,VLOOKUP($A99,'[2]Coding (Do not delete)'!$A$7:$K$656,5,FALSE))</f>
        <v>241200</v>
      </c>
      <c r="D99" s="54" t="s">
        <v>76</v>
      </c>
      <c r="E99" s="54" t="s">
        <v>192</v>
      </c>
      <c r="F99" s="79"/>
      <c r="G99" s="61">
        <v>0</v>
      </c>
      <c r="H99" s="56">
        <v>0</v>
      </c>
      <c r="I99" s="56"/>
      <c r="J99" s="56">
        <v>0</v>
      </c>
      <c r="K99" s="56">
        <v>0</v>
      </c>
      <c r="L99" s="56">
        <v>0</v>
      </c>
      <c r="M99" s="61">
        <f t="shared" ref="M99:M162" si="13">SUM(G99:L99)</f>
        <v>0</v>
      </c>
      <c r="N99" s="56">
        <f>IF(ISNA(VLOOKUP($B99,'[2]Current Provision - HYP'!$A$10:$BQ$201,$E$5,FALSE))=TRUE,0,VLOOKUP($B99,'[2]Current Provision - HYP'!$A$10:$BQ$201,$E$5,FALSE))</f>
        <v>0</v>
      </c>
      <c r="O99" s="56">
        <v>0</v>
      </c>
      <c r="P99" s="58">
        <v>0</v>
      </c>
      <c r="Q99" s="58">
        <v>0</v>
      </c>
      <c r="R99" s="58">
        <v>0</v>
      </c>
      <c r="S99" s="61">
        <f t="shared" ref="S99:S155" si="14">SUM(M99:R99)</f>
        <v>0</v>
      </c>
      <c r="T99" s="56"/>
      <c r="U99" s="63">
        <f t="shared" ref="U99:U162" si="15">IF(S99&gt;0,S99*$G$308,0)</f>
        <v>0</v>
      </c>
      <c r="V99" s="56">
        <f t="shared" ref="V99:V162" si="16">IF(S99&lt;0,-S99*$G$308,0)</f>
        <v>0</v>
      </c>
      <c r="W99" s="64">
        <f t="shared" ref="W99:W162" si="17">U99-V99</f>
        <v>0</v>
      </c>
      <c r="X99" s="77"/>
      <c r="Y99" s="77"/>
      <c r="Z99" s="280">
        <f t="shared" ref="Z99:Z175" si="18">SUM(M99:R99)-S99</f>
        <v>0</v>
      </c>
    </row>
    <row r="100" spans="1:26" ht="15">
      <c r="A100" s="74" t="s">
        <v>194</v>
      </c>
      <c r="B100" s="75" t="str">
        <f>IF(ISNA(VLOOKUP($A100,'[2]Coding (Do not delete)'!$A$7:$K$656,3,FALSE))=TRUE,0,VLOOKUP($A100,'[2]Coding (Do not delete)'!$A$7:$K$656,8,FALSE))</f>
        <v>JE#  T152  Pavement Repairs</v>
      </c>
      <c r="C100" s="54">
        <f>IF(ISNA(VLOOKUP($A100,'[2]Coding (Do not delete)'!$A$7:$K$656,5,FALSE))=TRUE,0,VLOOKUP($A100,'[2]Coding (Do not delete)'!$A$7:$K$656,5,FALSE))</f>
        <v>241500</v>
      </c>
      <c r="D100" s="54" t="s">
        <v>93</v>
      </c>
      <c r="E100" s="54" t="s">
        <v>90</v>
      </c>
      <c r="F100" s="79"/>
      <c r="G100" s="61">
        <v>45605</v>
      </c>
      <c r="H100" s="56">
        <v>0</v>
      </c>
      <c r="I100" s="56"/>
      <c r="J100" s="56">
        <v>0</v>
      </c>
      <c r="K100" s="56">
        <v>0</v>
      </c>
      <c r="L100" s="56">
        <v>0</v>
      </c>
      <c r="M100" s="61">
        <f t="shared" si="13"/>
        <v>45605</v>
      </c>
      <c r="N100" s="56">
        <f>IF(ISNA(VLOOKUP($B100,'[2]Current Provision - HYP'!$A$10:$BQ$201,$E$5,FALSE))=TRUE,0,VLOOKUP($B100,'[2]Current Provision - HYP'!$A$10:$BQ$201,$E$5,FALSE))</f>
        <v>-7614</v>
      </c>
      <c r="O100" s="56">
        <v>0</v>
      </c>
      <c r="P100" s="58">
        <v>0</v>
      </c>
      <c r="Q100" s="58">
        <v>0</v>
      </c>
      <c r="R100" s="58">
        <v>0</v>
      </c>
      <c r="S100" s="61">
        <f t="shared" si="14"/>
        <v>37991</v>
      </c>
      <c r="T100" s="56"/>
      <c r="U100" s="63">
        <f t="shared" si="15"/>
        <v>14778.498999999998</v>
      </c>
      <c r="V100" s="56">
        <f t="shared" si="16"/>
        <v>0</v>
      </c>
      <c r="W100" s="64">
        <f t="shared" si="17"/>
        <v>14778.498999999998</v>
      </c>
      <c r="X100" s="77"/>
      <c r="Y100" s="77"/>
      <c r="Z100" s="280">
        <f t="shared" si="18"/>
        <v>0</v>
      </c>
    </row>
    <row r="101" spans="1:26">
      <c r="A101" s="74" t="s">
        <v>195</v>
      </c>
      <c r="B101" s="75" t="str">
        <f>IF(ISNA(VLOOKUP($A101,'[2]Coding (Do not delete)'!$A$7:$K$656,3,FALSE))=TRUE,0,VLOOKUP($A101,'[2]Coding (Do not delete)'!$A$7:$K$656,8,FALSE))</f>
        <v>JE#  T025  Taxable Advances (CAC 1)</v>
      </c>
      <c r="C101" s="65">
        <f>IF(ISNA(VLOOKUP($A101,'[2]Coding (Do not delete)'!$A$7:$K$656,5,FALSE))=TRUE,0,VLOOKUP($A101,'[2]Coding (Do not delete)'!$A$7:$K$656,5,FALSE))</f>
        <v>252200</v>
      </c>
      <c r="D101" s="65" t="s">
        <v>145</v>
      </c>
      <c r="E101" s="65" t="s">
        <v>196</v>
      </c>
      <c r="F101" s="79"/>
      <c r="G101" s="61">
        <v>72509012.958868891</v>
      </c>
      <c r="H101" s="56">
        <v>0</v>
      </c>
      <c r="I101" s="56"/>
      <c r="J101" s="58">
        <v>2203334</v>
      </c>
      <c r="K101" s="56">
        <v>0</v>
      </c>
      <c r="L101" s="56">
        <v>0</v>
      </c>
      <c r="M101" s="61">
        <f t="shared" si="13"/>
        <v>74712346.958868891</v>
      </c>
      <c r="N101" s="56">
        <f>IF(ISNA(VLOOKUP($B101,'[2]Current Provision - HYP'!$A$10:$BQ$201,$E$5,FALSE))=TRUE,0,VLOOKUP($B101,'[2]Current Provision - HYP'!$A$10:$BQ$201,$E$5,FALSE))</f>
        <v>0</v>
      </c>
      <c r="O101" s="56">
        <v>0</v>
      </c>
      <c r="P101" s="58">
        <v>0</v>
      </c>
      <c r="Q101" s="58">
        <v>0</v>
      </c>
      <c r="R101" s="58">
        <v>0</v>
      </c>
      <c r="S101" s="61">
        <f t="shared" si="14"/>
        <v>74712346.958868891</v>
      </c>
      <c r="T101" s="56"/>
      <c r="U101" s="63">
        <f t="shared" si="15"/>
        <v>29063102.966999996</v>
      </c>
      <c r="V101" s="56">
        <f t="shared" si="16"/>
        <v>0</v>
      </c>
      <c r="W101" s="64">
        <f t="shared" si="17"/>
        <v>29063102.966999996</v>
      </c>
      <c r="Z101" s="279">
        <f t="shared" si="18"/>
        <v>0</v>
      </c>
    </row>
    <row r="102" spans="1:26" ht="15">
      <c r="A102" s="74" t="s">
        <v>197</v>
      </c>
      <c r="B102" s="75" t="str">
        <f>IF(ISNA(VLOOKUP($A102,'[2]Coding (Do not delete)'!$A$7:$K$656,3,FALSE))=TRUE,0,VLOOKUP($A102,'[2]Coding (Do not delete)'!$A$7:$K$656,8,FALSE))</f>
        <v>JE#  T166  Miscellaneous Deferred Credits (Misc 2)</v>
      </c>
      <c r="C102" s="54">
        <f>IF(ISNA(VLOOKUP($A102,'[2]Coding (Do not delete)'!$A$7:$K$656,5,FALSE))=TRUE,0,VLOOKUP($A102,'[2]Coding (Do not delete)'!$A$7:$K$656,5,FALSE))</f>
        <v>262000</v>
      </c>
      <c r="D102" s="54" t="s">
        <v>76</v>
      </c>
      <c r="E102" s="54" t="s">
        <v>192</v>
      </c>
      <c r="F102" s="79"/>
      <c r="G102" s="61">
        <v>514795.13</v>
      </c>
      <c r="H102" s="56">
        <v>0</v>
      </c>
      <c r="I102" s="56"/>
      <c r="J102" s="56">
        <v>0</v>
      </c>
      <c r="K102" s="56">
        <v>0</v>
      </c>
      <c r="L102" s="56">
        <v>0</v>
      </c>
      <c r="M102" s="61">
        <f t="shared" si="13"/>
        <v>514795.13</v>
      </c>
      <c r="N102" s="56">
        <f>IF(ISNA(VLOOKUP($B102,'[2]Current Provision - HYP'!$A$10:$BQ$201,$E$5,FALSE))=TRUE,0,VLOOKUP($B102,'[2]Current Provision - HYP'!$A$10:$BQ$201,$E$5,FALSE))</f>
        <v>-164303</v>
      </c>
      <c r="O102" s="56">
        <v>0</v>
      </c>
      <c r="P102" s="58">
        <v>0</v>
      </c>
      <c r="Q102" s="58">
        <v>0</v>
      </c>
      <c r="R102" s="58">
        <v>0</v>
      </c>
      <c r="S102" s="61">
        <f t="shared" si="14"/>
        <v>350492.13</v>
      </c>
      <c r="T102" s="56"/>
      <c r="U102" s="63">
        <f t="shared" si="15"/>
        <v>136341.43857</v>
      </c>
      <c r="V102" s="56">
        <f t="shared" si="16"/>
        <v>0</v>
      </c>
      <c r="W102" s="64">
        <f t="shared" si="17"/>
        <v>136341.43857</v>
      </c>
      <c r="X102" s="77"/>
      <c r="Y102" s="77"/>
      <c r="Z102" s="280">
        <f t="shared" si="18"/>
        <v>0</v>
      </c>
    </row>
    <row r="103" spans="1:26" ht="15">
      <c r="A103" s="74" t="s">
        <v>198</v>
      </c>
      <c r="B103" s="75" t="str">
        <f>IF(ISNA(VLOOKUP($A103,'[2]Coding (Do not delete)'!$A$7:$K$656,3,FALSE))=TRUE,0,VLOOKUP($A103,'[2]Coding (Do not delete)'!$A$7:$K$656,8,FALSE))</f>
        <v>JE#  T167  Miscellaneous Deferred Credits (Misc 3)</v>
      </c>
      <c r="C103" s="54">
        <f>IF(ISNA(VLOOKUP($A103,'[2]Coding (Do not delete)'!$A$7:$K$656,5,FALSE))=TRUE,0,VLOOKUP($A103,'[2]Coding (Do not delete)'!$A$7:$K$656,5,FALSE))</f>
        <v>262000</v>
      </c>
      <c r="D103" s="54" t="s">
        <v>76</v>
      </c>
      <c r="E103" s="54" t="s">
        <v>192</v>
      </c>
      <c r="F103" s="79"/>
      <c r="G103" s="61">
        <v>-606581</v>
      </c>
      <c r="H103" s="56">
        <v>0</v>
      </c>
      <c r="I103" s="56"/>
      <c r="J103" s="56">
        <v>0</v>
      </c>
      <c r="K103" s="56">
        <v>0</v>
      </c>
      <c r="L103" s="56">
        <v>0</v>
      </c>
      <c r="M103" s="61">
        <f t="shared" si="13"/>
        <v>-606581</v>
      </c>
      <c r="N103" s="56">
        <f>IF(ISNA(VLOOKUP($B103,'[2]Current Provision - HYP'!$A$10:$BQ$201,$E$5,FALSE))=TRUE,0,VLOOKUP($B103,'[2]Current Provision - HYP'!$A$10:$BQ$201,$E$5,FALSE))</f>
        <v>0</v>
      </c>
      <c r="O103" s="56">
        <v>0</v>
      </c>
      <c r="P103" s="58">
        <v>0</v>
      </c>
      <c r="Q103" s="58">
        <v>0</v>
      </c>
      <c r="R103" s="58">
        <v>0</v>
      </c>
      <c r="S103" s="61">
        <f t="shared" si="14"/>
        <v>-606581</v>
      </c>
      <c r="T103" s="56"/>
      <c r="U103" s="63">
        <f t="shared" si="15"/>
        <v>0</v>
      </c>
      <c r="V103" s="56">
        <f t="shared" si="16"/>
        <v>235960.00899999996</v>
      </c>
      <c r="W103" s="64">
        <f t="shared" si="17"/>
        <v>-235960.00899999996</v>
      </c>
      <c r="X103" s="77"/>
      <c r="Y103" s="77"/>
      <c r="Z103" s="280">
        <f t="shared" si="18"/>
        <v>0</v>
      </c>
    </row>
    <row r="104" spans="1:26">
      <c r="A104" s="74" t="s">
        <v>199</v>
      </c>
      <c r="B104" s="75" t="str">
        <f>IF(ISNA(VLOOKUP($A104,'[2]Coding (Do not delete)'!$A$7:$K$656,3,FALSE))=TRUE,0,VLOOKUP($A104,'[2]Coding (Do not delete)'!$A$7:$K$656,8,FALSE))</f>
        <v>JE#  ZZ27  Def Hist - Other Deferred Cr Analyzed a/c 262000</v>
      </c>
      <c r="C104" s="54">
        <f>IF(ISNA(VLOOKUP($A104,'[2]Coding (Do not delete)'!$A$7:$K$656,5,FALSE))=TRUE,0,VLOOKUP($A104,'[2]Coding (Do not delete)'!$A$7:$K$656,5,FALSE))</f>
        <v>262000</v>
      </c>
      <c r="D104" s="54" t="s">
        <v>76</v>
      </c>
      <c r="E104" s="54" t="s">
        <v>192</v>
      </c>
      <c r="F104" s="79"/>
      <c r="G104" s="61">
        <v>712290</v>
      </c>
      <c r="H104" s="56">
        <v>0</v>
      </c>
      <c r="I104" s="56"/>
      <c r="J104" s="56">
        <v>0</v>
      </c>
      <c r="K104" s="56">
        <v>0</v>
      </c>
      <c r="L104" s="56">
        <v>0</v>
      </c>
      <c r="M104" s="61">
        <f t="shared" si="13"/>
        <v>712290</v>
      </c>
      <c r="N104" s="56">
        <f>IF(ISNA(VLOOKUP($B104,'[2]Current Provision - HYP'!$A$10:$BQ$201,$E$5,FALSE))=TRUE,0,VLOOKUP($B104,'[2]Current Provision - HYP'!$A$10:$BQ$201,$E$5,FALSE))</f>
        <v>0</v>
      </c>
      <c r="O104" s="56">
        <v>0</v>
      </c>
      <c r="P104" s="58">
        <v>0</v>
      </c>
      <c r="Q104" s="58">
        <v>0</v>
      </c>
      <c r="R104" s="58">
        <v>0</v>
      </c>
      <c r="S104" s="61">
        <f t="shared" si="14"/>
        <v>712290</v>
      </c>
      <c r="T104" s="56"/>
      <c r="U104" s="63">
        <f t="shared" si="15"/>
        <v>277080.81</v>
      </c>
      <c r="V104" s="56">
        <f t="shared" si="16"/>
        <v>0</v>
      </c>
      <c r="W104" s="64">
        <f t="shared" si="17"/>
        <v>277080.81</v>
      </c>
      <c r="X104" s="58"/>
      <c r="Z104" s="279">
        <f t="shared" si="18"/>
        <v>0</v>
      </c>
    </row>
    <row r="105" spans="1:26" ht="15">
      <c r="A105" s="74" t="s">
        <v>200</v>
      </c>
      <c r="B105" s="75" t="str">
        <f>IF(ISNA(VLOOKUP($A105,'[2]Coding (Do not delete)'!$A$7:$K$656,3,FALSE))=TRUE,0,VLOOKUP($A105,'[2]Coding (Do not delete)'!$A$7:$K$656,8,FALSE))</f>
        <v>JE#  U103  Miscellaneous Deferred Offset</v>
      </c>
      <c r="C105" s="54">
        <f>IF(ISNA(VLOOKUP($A105,'[2]Coding (Do not delete)'!$A$7:$K$656,5,FALSE))=TRUE,0,VLOOKUP($A105,'[2]Coding (Do not delete)'!$A$7:$K$656,5,FALSE))</f>
        <v>262000</v>
      </c>
      <c r="D105" s="54" t="s">
        <v>76</v>
      </c>
      <c r="E105" s="54" t="s">
        <v>137</v>
      </c>
      <c r="F105" s="79"/>
      <c r="G105" s="61">
        <v>0</v>
      </c>
      <c r="H105" s="56">
        <v>0</v>
      </c>
      <c r="I105" s="56"/>
      <c r="J105" s="56">
        <v>0</v>
      </c>
      <c r="K105" s="56">
        <v>0</v>
      </c>
      <c r="L105" s="56">
        <v>0</v>
      </c>
      <c r="M105" s="61">
        <f t="shared" si="13"/>
        <v>0</v>
      </c>
      <c r="N105" s="56">
        <f>IF(ISNA(VLOOKUP($B105,'[2]Current Provision - HYP'!$A$10:$BQ$201,$E$5,FALSE))=TRUE,0,VLOOKUP($B105,'[2]Current Provision - HYP'!$A$10:$BQ$201,$E$5,FALSE))</f>
        <v>0</v>
      </c>
      <c r="O105" s="56">
        <v>0</v>
      </c>
      <c r="P105" s="58">
        <v>0</v>
      </c>
      <c r="Q105" s="58">
        <v>0</v>
      </c>
      <c r="R105" s="58">
        <v>0</v>
      </c>
      <c r="S105" s="61">
        <f t="shared" si="14"/>
        <v>0</v>
      </c>
      <c r="T105" s="56"/>
      <c r="U105" s="63">
        <f t="shared" si="15"/>
        <v>0</v>
      </c>
      <c r="V105" s="56">
        <f t="shared" si="16"/>
        <v>0</v>
      </c>
      <c r="W105" s="64">
        <f t="shared" si="17"/>
        <v>0</v>
      </c>
      <c r="X105" s="77"/>
      <c r="Y105" s="77"/>
      <c r="Z105" s="280">
        <f t="shared" si="18"/>
        <v>0</v>
      </c>
    </row>
    <row r="106" spans="1:26" ht="15">
      <c r="A106" s="74" t="s">
        <v>201</v>
      </c>
      <c r="B106" s="75" t="str">
        <f>IF(ISNA(VLOOKUP($A106,'[2]Coding (Do not delete)'!$A$7:$K$656,3,FALSE))=TRUE,0,VLOOKUP($A106,'[2]Coding (Do not delete)'!$A$7:$K$656,8,FALSE))</f>
        <v>JE#  T131  Regulatory Pension (Pension 2)</v>
      </c>
      <c r="C106" s="54">
        <f>IF(ISNA(VLOOKUP($A106,'[2]Coding (Do not delete)'!$A$7:$K$656,5,FALSE))=TRUE,0,VLOOKUP($A106,'[2]Coding (Do not delete)'!$A$7:$K$656,5,FALSE))</f>
        <v>262110</v>
      </c>
      <c r="D106" s="54" t="s">
        <v>175</v>
      </c>
      <c r="E106" s="54" t="s">
        <v>202</v>
      </c>
      <c r="F106" s="79"/>
      <c r="G106" s="61">
        <v>2027518.73</v>
      </c>
      <c r="H106" s="56">
        <v>0</v>
      </c>
      <c r="I106" s="56"/>
      <c r="J106" s="56">
        <v>0</v>
      </c>
      <c r="K106" s="56">
        <v>0</v>
      </c>
      <c r="L106" s="56">
        <v>0</v>
      </c>
      <c r="M106" s="61">
        <f t="shared" si="13"/>
        <v>2027518.73</v>
      </c>
      <c r="N106" s="56">
        <f>IF(ISNA(VLOOKUP($B106,'[2]Current Provision - HYP'!$A$10:$BQ$201,$E$5,FALSE))=TRUE,0,VLOOKUP($B106,'[2]Current Provision - HYP'!$A$10:$BQ$201,$E$5,FALSE))</f>
        <v>0</v>
      </c>
      <c r="O106" s="56">
        <v>0</v>
      </c>
      <c r="P106" s="58">
        <v>0</v>
      </c>
      <c r="Q106" s="58">
        <v>0</v>
      </c>
      <c r="R106" s="58">
        <v>0</v>
      </c>
      <c r="S106" s="61">
        <f t="shared" si="14"/>
        <v>2027518.73</v>
      </c>
      <c r="T106" s="56"/>
      <c r="U106" s="63">
        <f t="shared" si="15"/>
        <v>788704.78596999985</v>
      </c>
      <c r="V106" s="56">
        <f t="shared" si="16"/>
        <v>0</v>
      </c>
      <c r="W106" s="64">
        <f t="shared" si="17"/>
        <v>788704.78596999985</v>
      </c>
      <c r="X106" s="77"/>
      <c r="Y106" s="77"/>
      <c r="Z106" s="280">
        <f t="shared" si="18"/>
        <v>0</v>
      </c>
    </row>
    <row r="107" spans="1:26">
      <c r="A107" s="74" t="s">
        <v>203</v>
      </c>
      <c r="B107" s="75" t="str">
        <f>IF(ISNA(VLOOKUP($A107,'[2]Coding (Do not delete)'!$A$7:$K$656,3,FALSE))=TRUE,0,VLOOKUP($A107,'[2]Coding (Do not delete)'!$A$7:$K$656,8,FALSE))</f>
        <v>JE#  ZZ23  Def Hist - Reg Pension a/c 262110</v>
      </c>
      <c r="C107" s="54">
        <f>IF(ISNA(VLOOKUP($A107,'[2]Coding (Do not delete)'!$A$7:$K$656,5,FALSE))=TRUE,0,VLOOKUP($A107,'[2]Coding (Do not delete)'!$A$7:$K$656,5,FALSE))</f>
        <v>262110</v>
      </c>
      <c r="D107" s="54" t="s">
        <v>175</v>
      </c>
      <c r="E107" s="54" t="s">
        <v>176</v>
      </c>
      <c r="F107" s="79"/>
      <c r="G107" s="61">
        <v>0</v>
      </c>
      <c r="H107" s="56">
        <v>0</v>
      </c>
      <c r="I107" s="56"/>
      <c r="J107" s="56">
        <v>0</v>
      </c>
      <c r="K107" s="56">
        <v>0</v>
      </c>
      <c r="L107" s="56">
        <v>0</v>
      </c>
      <c r="M107" s="61">
        <f t="shared" si="13"/>
        <v>0</v>
      </c>
      <c r="N107" s="56">
        <f>IF(ISNA(VLOOKUP($B107,'[2]Current Provision - HYP'!$A$10:$BQ$201,$E$5,FALSE))=TRUE,0,VLOOKUP($B107,'[2]Current Provision - HYP'!$A$10:$BQ$201,$E$5,FALSE))</f>
        <v>0</v>
      </c>
      <c r="O107" s="56">
        <v>0</v>
      </c>
      <c r="P107" s="58">
        <v>0</v>
      </c>
      <c r="Q107" s="58">
        <v>0</v>
      </c>
      <c r="R107" s="58">
        <v>0</v>
      </c>
      <c r="S107" s="61">
        <f t="shared" si="14"/>
        <v>0</v>
      </c>
      <c r="T107" s="56"/>
      <c r="U107" s="63">
        <f t="shared" si="15"/>
        <v>0</v>
      </c>
      <c r="V107" s="56">
        <f t="shared" si="16"/>
        <v>0</v>
      </c>
      <c r="W107" s="64">
        <f t="shared" si="17"/>
        <v>0</v>
      </c>
      <c r="X107" s="58"/>
      <c r="Z107" s="279">
        <f t="shared" si="18"/>
        <v>0</v>
      </c>
    </row>
    <row r="108" spans="1:26" ht="15">
      <c r="A108" s="74" t="s">
        <v>204</v>
      </c>
      <c r="B108" s="75" t="str">
        <f>IF(ISNA(VLOOKUP($A108,'[2]Coding (Do not delete)'!$A$7:$K$656,3,FALSE))=TRUE,0,VLOOKUP($A108,'[2]Coding (Do not delete)'!$A$7:$K$656,8,FALSE))</f>
        <v>JE#  T132  Regulatory Pension (Pension 3)</v>
      </c>
      <c r="C108" s="54">
        <f>IF(ISNA(VLOOKUP($A108,'[2]Coding (Do not delete)'!$A$7:$K$656,5,FALSE))=TRUE,0,VLOOKUP($A108,'[2]Coding (Do not delete)'!$A$7:$K$656,5,FALSE))</f>
        <v>262111</v>
      </c>
      <c r="D108" s="54" t="s">
        <v>175</v>
      </c>
      <c r="E108" s="54" t="s">
        <v>176</v>
      </c>
      <c r="F108" s="79"/>
      <c r="G108" s="61">
        <v>0</v>
      </c>
      <c r="H108" s="56">
        <v>0</v>
      </c>
      <c r="I108" s="56"/>
      <c r="J108" s="56">
        <v>0</v>
      </c>
      <c r="K108" s="56">
        <v>0</v>
      </c>
      <c r="L108" s="56">
        <v>0</v>
      </c>
      <c r="M108" s="61">
        <f t="shared" si="13"/>
        <v>0</v>
      </c>
      <c r="N108" s="56">
        <f>IF(ISNA(VLOOKUP($B108,'[2]Current Provision - HYP'!$A$10:$BQ$201,$E$5,FALSE))=TRUE,0,VLOOKUP($B108,'[2]Current Provision - HYP'!$A$10:$BQ$201,$E$5,FALSE))</f>
        <v>0</v>
      </c>
      <c r="O108" s="56">
        <v>0</v>
      </c>
      <c r="P108" s="58">
        <v>0</v>
      </c>
      <c r="Q108" s="58">
        <v>0</v>
      </c>
      <c r="R108" s="58">
        <v>0</v>
      </c>
      <c r="S108" s="61">
        <f t="shared" si="14"/>
        <v>0</v>
      </c>
      <c r="T108" s="56"/>
      <c r="U108" s="63">
        <f t="shared" si="15"/>
        <v>0</v>
      </c>
      <c r="V108" s="56">
        <f t="shared" si="16"/>
        <v>0</v>
      </c>
      <c r="W108" s="64">
        <f t="shared" si="17"/>
        <v>0</v>
      </c>
      <c r="X108" s="76"/>
      <c r="Y108" s="77"/>
      <c r="Z108" s="280">
        <f t="shared" si="18"/>
        <v>0</v>
      </c>
    </row>
    <row r="109" spans="1:26">
      <c r="A109" s="74" t="s">
        <v>205</v>
      </c>
      <c r="B109" s="75" t="str">
        <f>IF(ISNA(VLOOKUP($A109,'[2]Coding (Do not delete)'!$A$7:$K$656,3,FALSE))=TRUE,0,VLOOKUP($A109,'[2]Coding (Do not delete)'!$A$7:$K$656,8,FALSE))</f>
        <v>JE#  ZZ24  Def Hist - Reg Pension AWWS a/c 262111</v>
      </c>
      <c r="C109" s="54">
        <f>IF(ISNA(VLOOKUP($A109,'[2]Coding (Do not delete)'!$A$7:$K$656,5,FALSE))=TRUE,0,VLOOKUP($A109,'[2]Coding (Do not delete)'!$A$7:$K$656,5,FALSE))</f>
        <v>262111</v>
      </c>
      <c r="D109" s="54" t="s">
        <v>175</v>
      </c>
      <c r="E109" s="54" t="s">
        <v>176</v>
      </c>
      <c r="F109" s="79"/>
      <c r="G109" s="61">
        <v>0</v>
      </c>
      <c r="H109" s="56">
        <v>0</v>
      </c>
      <c r="I109" s="56"/>
      <c r="J109" s="56">
        <v>0</v>
      </c>
      <c r="K109" s="56">
        <v>0</v>
      </c>
      <c r="L109" s="56">
        <v>0</v>
      </c>
      <c r="M109" s="61">
        <f t="shared" si="13"/>
        <v>0</v>
      </c>
      <c r="N109" s="56">
        <f>IF(ISNA(VLOOKUP($B109,'[2]Current Provision - HYP'!$A$10:$BQ$201,$E$5,FALSE))=TRUE,0,VLOOKUP($B109,'[2]Current Provision - HYP'!$A$10:$BQ$201,$E$5,FALSE))</f>
        <v>0</v>
      </c>
      <c r="O109" s="56">
        <v>0</v>
      </c>
      <c r="P109" s="58">
        <v>0</v>
      </c>
      <c r="Q109" s="58">
        <v>0</v>
      </c>
      <c r="R109" s="58">
        <v>0</v>
      </c>
      <c r="S109" s="61">
        <f t="shared" si="14"/>
        <v>0</v>
      </c>
      <c r="T109" s="56"/>
      <c r="U109" s="63">
        <f t="shared" si="15"/>
        <v>0</v>
      </c>
      <c r="V109" s="56">
        <f t="shared" si="16"/>
        <v>0</v>
      </c>
      <c r="W109" s="64">
        <f t="shared" si="17"/>
        <v>0</v>
      </c>
      <c r="X109" s="58"/>
      <c r="Z109" s="279">
        <f t="shared" si="18"/>
        <v>0</v>
      </c>
    </row>
    <row r="110" spans="1:26" ht="15">
      <c r="A110" s="74" t="s">
        <v>206</v>
      </c>
      <c r="B110" s="75" t="str">
        <f>IF(ISNA(VLOOKUP($A110,'[2]Coding (Do not delete)'!$A$7:$K$656,3,FALSE))=TRUE,0,VLOOKUP($A110,'[2]Coding (Do not delete)'!$A$7:$K$656,8,FALSE))</f>
        <v>JE#  T135  Supplemental Pension</v>
      </c>
      <c r="C110" s="54">
        <f>IF(ISNA(VLOOKUP($A110,'[2]Coding (Do not delete)'!$A$7:$K$656,5,FALSE))=TRUE,0,VLOOKUP($A110,'[2]Coding (Do not delete)'!$A$7:$K$656,5,FALSE))</f>
        <v>262140</v>
      </c>
      <c r="D110" s="54" t="s">
        <v>175</v>
      </c>
      <c r="E110" s="54" t="s">
        <v>176</v>
      </c>
      <c r="F110" s="79"/>
      <c r="G110" s="61">
        <v>0</v>
      </c>
      <c r="H110" s="56">
        <v>0</v>
      </c>
      <c r="I110" s="56"/>
      <c r="J110" s="56">
        <v>0</v>
      </c>
      <c r="K110" s="56">
        <v>0</v>
      </c>
      <c r="L110" s="56">
        <v>0</v>
      </c>
      <c r="M110" s="61">
        <f t="shared" si="13"/>
        <v>0</v>
      </c>
      <c r="N110" s="56">
        <f>IF(ISNA(VLOOKUP($B110,'[2]Current Provision - HYP'!$A$10:$BQ$201,$E$5,FALSE))=TRUE,0,VLOOKUP($B110,'[2]Current Provision - HYP'!$A$10:$BQ$201,$E$5,FALSE))</f>
        <v>0</v>
      </c>
      <c r="O110" s="56">
        <v>0</v>
      </c>
      <c r="P110" s="58">
        <v>0</v>
      </c>
      <c r="Q110" s="58">
        <v>0</v>
      </c>
      <c r="R110" s="58">
        <v>0</v>
      </c>
      <c r="S110" s="61">
        <f t="shared" si="14"/>
        <v>0</v>
      </c>
      <c r="T110" s="56"/>
      <c r="U110" s="63">
        <f t="shared" si="15"/>
        <v>0</v>
      </c>
      <c r="V110" s="56">
        <f t="shared" si="16"/>
        <v>0</v>
      </c>
      <c r="W110" s="64">
        <f t="shared" si="17"/>
        <v>0</v>
      </c>
      <c r="X110" s="77"/>
      <c r="Y110" s="77"/>
      <c r="Z110" s="280">
        <f t="shared" si="18"/>
        <v>0</v>
      </c>
    </row>
    <row r="111" spans="1:26">
      <c r="A111" s="74" t="s">
        <v>207</v>
      </c>
      <c r="B111" s="75" t="str">
        <f>IF(ISNA(VLOOKUP($A111,'[2]Coding (Do not delete)'!$A$7:$K$656,3,FALSE))=TRUE,0,VLOOKUP($A111,'[2]Coding (Do not delete)'!$A$7:$K$656,8,FALSE))</f>
        <v>JE#  ZZ25  Def Hist - Supplemental Pension a/c 262140</v>
      </c>
      <c r="C111" s="54">
        <f>IF(ISNA(VLOOKUP($A111,'[2]Coding (Do not delete)'!$A$7:$K$656,5,FALSE))=TRUE,0,VLOOKUP($A111,'[2]Coding (Do not delete)'!$A$7:$K$656,5,FALSE))</f>
        <v>262140</v>
      </c>
      <c r="D111" s="54" t="s">
        <v>175</v>
      </c>
      <c r="E111" s="54" t="s">
        <v>176</v>
      </c>
      <c r="F111" s="79"/>
      <c r="G111" s="61">
        <v>0</v>
      </c>
      <c r="H111" s="56">
        <v>0</v>
      </c>
      <c r="I111" s="56"/>
      <c r="J111" s="56">
        <v>0</v>
      </c>
      <c r="K111" s="56">
        <v>0</v>
      </c>
      <c r="L111" s="56">
        <v>0</v>
      </c>
      <c r="M111" s="61">
        <f t="shared" si="13"/>
        <v>0</v>
      </c>
      <c r="N111" s="56">
        <f>IF(ISNA(VLOOKUP($B111,'[2]Current Provision - HYP'!$A$10:$BQ$201,$E$5,FALSE))=TRUE,0,VLOOKUP($B111,'[2]Current Provision - HYP'!$A$10:$BQ$201,$E$5,FALSE))</f>
        <v>0</v>
      </c>
      <c r="O111" s="56">
        <v>0</v>
      </c>
      <c r="P111" s="58">
        <v>0</v>
      </c>
      <c r="Q111" s="58">
        <v>0</v>
      </c>
      <c r="R111" s="58">
        <v>0</v>
      </c>
      <c r="S111" s="61">
        <f t="shared" si="14"/>
        <v>0</v>
      </c>
      <c r="T111" s="56"/>
      <c r="U111" s="63">
        <f t="shared" si="15"/>
        <v>0</v>
      </c>
      <c r="V111" s="56">
        <f t="shared" si="16"/>
        <v>0</v>
      </c>
      <c r="W111" s="64">
        <f t="shared" si="17"/>
        <v>0</v>
      </c>
      <c r="X111" s="58"/>
      <c r="Z111" s="279">
        <f t="shared" si="18"/>
        <v>0</v>
      </c>
    </row>
    <row r="112" spans="1:26" ht="15">
      <c r="A112" s="74" t="s">
        <v>208</v>
      </c>
      <c r="B112" s="75" t="str">
        <f>IF(ISNA(VLOOKUP($A112,'[2]Coding (Do not delete)'!$A$7:$K$656,3,FALSE))=TRUE,0,VLOOKUP($A112,'[2]Coding (Do not delete)'!$A$7:$K$656,8,FALSE))</f>
        <v>JE#  T180  Insurance Other than Group</v>
      </c>
      <c r="C112" s="54">
        <f>IF(ISNA(VLOOKUP($A112,'[2]Coding (Do not delete)'!$A$7:$K$656,5,FALSE))=TRUE,0,VLOOKUP($A112,'[2]Coding (Do not delete)'!$A$7:$K$656,5,FALSE))</f>
        <v>262180</v>
      </c>
      <c r="D112" s="54" t="s">
        <v>76</v>
      </c>
      <c r="E112" s="54" t="s">
        <v>72</v>
      </c>
      <c r="F112" s="79"/>
      <c r="G112" s="61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61">
        <f t="shared" si="13"/>
        <v>0</v>
      </c>
      <c r="N112" s="56">
        <f>IF(ISNA(VLOOKUP($B112,'[2]Current Provision - HYP'!$A$10:$BQ$201,$E$5,FALSE))=TRUE,0,VLOOKUP($B112,'[2]Current Provision - HYP'!$A$10:$BQ$201,$E$5,FALSE))</f>
        <v>0</v>
      </c>
      <c r="O112" s="56">
        <v>0</v>
      </c>
      <c r="P112" s="58">
        <v>0</v>
      </c>
      <c r="Q112" s="58">
        <v>0</v>
      </c>
      <c r="R112" s="58">
        <v>0</v>
      </c>
      <c r="S112" s="61">
        <f t="shared" si="14"/>
        <v>0</v>
      </c>
      <c r="T112" s="56"/>
      <c r="U112" s="63">
        <f t="shared" si="15"/>
        <v>0</v>
      </c>
      <c r="V112" s="56">
        <f t="shared" si="16"/>
        <v>0</v>
      </c>
      <c r="W112" s="64">
        <f t="shared" si="17"/>
        <v>0</v>
      </c>
      <c r="X112" s="77"/>
      <c r="Y112" s="77"/>
      <c r="Z112" s="280">
        <f t="shared" si="18"/>
        <v>0</v>
      </c>
    </row>
    <row r="113" spans="1:26" ht="15">
      <c r="A113" s="74" t="s">
        <v>209</v>
      </c>
      <c r="B113" s="75" t="str">
        <f>IF(ISNA(VLOOKUP($A113,'[2]Coding (Do not delete)'!$A$7:$K$656,3,FALSE))=TRUE,0,VLOOKUP($A113,'[2]Coding (Do not delete)'!$A$7:$K$656,8,FALSE))</f>
        <v>JE#  T141  Accrued OPEB (OPEB 2)</v>
      </c>
      <c r="C113" s="54">
        <f>IF(ISNA(VLOOKUP($A113,'[2]Coding (Do not delete)'!$A$7:$K$656,5,FALSE))=TRUE,0,VLOOKUP($A113,'[2]Coding (Do not delete)'!$A$7:$K$656,5,FALSE))</f>
        <v>262210</v>
      </c>
      <c r="D113" s="54" t="s">
        <v>172</v>
      </c>
      <c r="E113" s="54" t="s">
        <v>173</v>
      </c>
      <c r="F113" s="79"/>
      <c r="G113" s="61">
        <v>299737</v>
      </c>
      <c r="H113" s="56">
        <v>0</v>
      </c>
      <c r="I113" s="56"/>
      <c r="J113" s="56">
        <v>-77044</v>
      </c>
      <c r="K113" s="56">
        <v>0</v>
      </c>
      <c r="L113" s="56">
        <v>0</v>
      </c>
      <c r="M113" s="61">
        <f t="shared" si="13"/>
        <v>222693</v>
      </c>
      <c r="N113" s="56">
        <f>IF(ISNA(VLOOKUP($B113,'[2]Current Provision - HYP'!$A$10:$BQ$201,$E$5,FALSE))=TRUE,0,VLOOKUP($B113,'[2]Current Provision - HYP'!$A$10:$BQ$201,$E$5,FALSE))</f>
        <v>0</v>
      </c>
      <c r="O113" s="56">
        <v>0</v>
      </c>
      <c r="P113" s="58">
        <v>0</v>
      </c>
      <c r="Q113" s="58">
        <v>0</v>
      </c>
      <c r="R113" s="58">
        <v>0</v>
      </c>
      <c r="S113" s="61">
        <f t="shared" si="14"/>
        <v>222693</v>
      </c>
      <c r="T113" s="56"/>
      <c r="U113" s="63">
        <f t="shared" si="15"/>
        <v>86627.57699999999</v>
      </c>
      <c r="V113" s="56">
        <f t="shared" si="16"/>
        <v>0</v>
      </c>
      <c r="W113" s="64">
        <f t="shared" si="17"/>
        <v>86627.57699999999</v>
      </c>
      <c r="X113" s="76"/>
      <c r="Y113" s="77"/>
      <c r="Z113" s="280">
        <f t="shared" si="18"/>
        <v>0</v>
      </c>
    </row>
    <row r="114" spans="1:26" ht="15">
      <c r="A114" s="74" t="s">
        <v>210</v>
      </c>
      <c r="B114" s="75" t="str">
        <f>IF(ISNA(VLOOKUP($A114,'[2]Coding (Do not delete)'!$A$7:$K$656,3,FALSE))=TRUE,0,VLOOKUP($A114,'[2]Coding (Do not delete)'!$A$7:$K$656,8,FALSE))</f>
        <v>JE#  T142  Accrued OPEB (OPEB 3)</v>
      </c>
      <c r="C114" s="54">
        <f>IF(ISNA(VLOOKUP($A114,'[2]Coding (Do not delete)'!$A$7:$K$656,5,FALSE))=TRUE,0,VLOOKUP($A114,'[2]Coding (Do not delete)'!$A$7:$K$656,5,FALSE))</f>
        <v>262210</v>
      </c>
      <c r="D114" s="54" t="s">
        <v>172</v>
      </c>
      <c r="E114" s="54" t="s">
        <v>211</v>
      </c>
      <c r="F114" s="79"/>
      <c r="G114" s="61">
        <v>875909.96</v>
      </c>
      <c r="H114" s="56">
        <v>0</v>
      </c>
      <c r="I114" s="56"/>
      <c r="J114" s="56">
        <v>0</v>
      </c>
      <c r="K114" s="56">
        <v>0</v>
      </c>
      <c r="L114" s="56">
        <v>0</v>
      </c>
      <c r="M114" s="61">
        <f t="shared" si="13"/>
        <v>875909.96</v>
      </c>
      <c r="N114" s="56">
        <f>IF(ISNA(VLOOKUP($B114,'[2]Current Provision - HYP'!$A$10:$BQ$201,$E$5,FALSE))=TRUE,0,VLOOKUP($B114,'[2]Current Provision - HYP'!$A$10:$BQ$201,$E$5,FALSE))</f>
        <v>0</v>
      </c>
      <c r="O114" s="56">
        <v>0</v>
      </c>
      <c r="P114" s="58">
        <v>0</v>
      </c>
      <c r="Q114" s="58">
        <v>0</v>
      </c>
      <c r="R114" s="58">
        <v>0</v>
      </c>
      <c r="S114" s="61">
        <f t="shared" si="14"/>
        <v>875909.96</v>
      </c>
      <c r="T114" s="56"/>
      <c r="U114" s="63">
        <f t="shared" si="15"/>
        <v>340728.97443999996</v>
      </c>
      <c r="V114" s="56">
        <f t="shared" si="16"/>
        <v>0</v>
      </c>
      <c r="W114" s="64">
        <f t="shared" si="17"/>
        <v>340728.97443999996</v>
      </c>
      <c r="X114" s="76"/>
      <c r="Y114" s="77"/>
      <c r="Z114" s="280">
        <f t="shared" si="18"/>
        <v>0</v>
      </c>
    </row>
    <row r="115" spans="1:26" ht="15">
      <c r="A115" s="74" t="s">
        <v>212</v>
      </c>
      <c r="B115" s="75" t="str">
        <f>IF(ISNA(VLOOKUP($A115,'[2]Coding (Do not delete)'!$A$7:$K$656,3,FALSE))=TRUE,0,VLOOKUP($A115,'[2]Coding (Do not delete)'!$A$7:$K$656,8,FALSE))</f>
        <v>JE#  T120  Incentive Plan (Incen 1)</v>
      </c>
      <c r="C115" s="54">
        <f>IF(ISNA(VLOOKUP($A115,'[2]Coding (Do not delete)'!$A$7:$K$656,5,FALSE))=TRUE,0,VLOOKUP($A115,'[2]Coding (Do not delete)'!$A$7:$K$656,5,FALSE))</f>
        <v>146200</v>
      </c>
      <c r="D115" s="54" t="s">
        <v>68</v>
      </c>
      <c r="E115" s="54" t="s">
        <v>213</v>
      </c>
      <c r="F115" s="79"/>
      <c r="G115" s="61">
        <v>44194</v>
      </c>
      <c r="H115" s="56">
        <v>0</v>
      </c>
      <c r="I115" s="56"/>
      <c r="J115" s="56">
        <v>0</v>
      </c>
      <c r="K115" s="56">
        <v>0</v>
      </c>
      <c r="L115" s="56">
        <v>0</v>
      </c>
      <c r="M115" s="61">
        <f t="shared" si="13"/>
        <v>44194</v>
      </c>
      <c r="N115" s="56">
        <f>IF(ISNA(VLOOKUP($B115,'[2]Current Provision - HYP'!$A$10:$BQ$201,$E$5,FALSE))=TRUE,0,VLOOKUP($B115,'[2]Current Provision - HYP'!$A$10:$BQ$201,$E$5,FALSE))</f>
        <v>0</v>
      </c>
      <c r="O115" s="56">
        <v>0</v>
      </c>
      <c r="P115" s="58">
        <v>0</v>
      </c>
      <c r="Q115" s="58">
        <v>0</v>
      </c>
      <c r="R115" s="58">
        <v>0</v>
      </c>
      <c r="S115" s="61">
        <f t="shared" si="14"/>
        <v>44194</v>
      </c>
      <c r="T115" s="56"/>
      <c r="U115" s="63">
        <f t="shared" si="15"/>
        <v>17191.465999999997</v>
      </c>
      <c r="V115" s="56">
        <f t="shared" si="16"/>
        <v>0</v>
      </c>
      <c r="W115" s="64">
        <f t="shared" si="17"/>
        <v>17191.465999999997</v>
      </c>
      <c r="X115" s="77"/>
      <c r="Y115" s="77"/>
      <c r="Z115" s="280">
        <f t="shared" si="18"/>
        <v>0</v>
      </c>
    </row>
    <row r="116" spans="1:26" ht="15">
      <c r="A116" s="74" t="s">
        <v>214</v>
      </c>
      <c r="B116" s="75" t="str">
        <f>IF(ISNA(VLOOKUP($A116,'[2]Coding (Do not delete)'!$A$7:$K$656,3,FALSE))=TRUE,0,VLOOKUP($A116,'[2]Coding (Do not delete)'!$A$7:$K$656,8,FALSE))</f>
        <v>JE#  T121  Incentive Plan (Incen 2)</v>
      </c>
      <c r="C116" s="54">
        <f>IF(ISNA(VLOOKUP($A116,'[2]Coding (Do not delete)'!$A$7:$K$656,5,FALSE))=TRUE,0,VLOOKUP($A116,'[2]Coding (Do not delete)'!$A$7:$K$656,5,FALSE))</f>
        <v>146200</v>
      </c>
      <c r="D116" s="54" t="s">
        <v>68</v>
      </c>
      <c r="E116" s="54" t="s">
        <v>213</v>
      </c>
      <c r="F116" s="79"/>
      <c r="G116" s="61">
        <v>87875</v>
      </c>
      <c r="H116" s="56">
        <v>0</v>
      </c>
      <c r="I116" s="56"/>
      <c r="J116" s="56">
        <v>0</v>
      </c>
      <c r="K116" s="56">
        <v>0</v>
      </c>
      <c r="L116" s="56">
        <v>0</v>
      </c>
      <c r="M116" s="61">
        <f t="shared" si="13"/>
        <v>87875</v>
      </c>
      <c r="N116" s="56">
        <f>IF(ISNA(VLOOKUP($B116,'[2]Current Provision - HYP'!$A$10:$BQ$201,$E$5,FALSE))=TRUE,0,VLOOKUP($B116,'[2]Current Provision - HYP'!$A$10:$BQ$201,$E$5,FALSE))</f>
        <v>0</v>
      </c>
      <c r="O116" s="56">
        <v>0</v>
      </c>
      <c r="P116" s="58">
        <v>0</v>
      </c>
      <c r="Q116" s="58">
        <v>0</v>
      </c>
      <c r="R116" s="58">
        <v>0</v>
      </c>
      <c r="S116" s="61">
        <f t="shared" si="14"/>
        <v>87875</v>
      </c>
      <c r="T116" s="56"/>
      <c r="U116" s="63">
        <f t="shared" si="15"/>
        <v>34183.374999999993</v>
      </c>
      <c r="V116" s="56">
        <f t="shared" si="16"/>
        <v>0</v>
      </c>
      <c r="W116" s="64">
        <f t="shared" si="17"/>
        <v>34183.374999999993</v>
      </c>
      <c r="X116" s="77"/>
      <c r="Y116" s="77"/>
      <c r="Z116" s="280">
        <f t="shared" si="18"/>
        <v>0</v>
      </c>
    </row>
    <row r="117" spans="1:26" ht="15">
      <c r="A117" s="74" t="s">
        <v>215</v>
      </c>
      <c r="B117" s="75" t="str">
        <f>IF(ISNA(VLOOKUP($A117,'[2]Coding (Do not delete)'!$A$7:$K$656,3,FALSE))=TRUE,0,VLOOKUP($A117,'[2]Coding (Do not delete)'!$A$7:$K$656,8,FALSE))</f>
        <v>JE#  T122  Incentive Plan (Incen 3)</v>
      </c>
      <c r="C117" s="54">
        <f>IF(ISNA(VLOOKUP($A117,'[2]Coding (Do not delete)'!$A$7:$K$656,5,FALSE))=TRUE,0,VLOOKUP($A117,'[2]Coding (Do not delete)'!$A$7:$K$656,5,FALSE))</f>
        <v>262317</v>
      </c>
      <c r="D117" s="54" t="s">
        <v>68</v>
      </c>
      <c r="E117" s="54" t="s">
        <v>216</v>
      </c>
      <c r="F117" s="79"/>
      <c r="G117" s="61">
        <v>26420.39</v>
      </c>
      <c r="H117" s="56">
        <v>-79125</v>
      </c>
      <c r="I117" s="56"/>
      <c r="J117" s="56">
        <v>0</v>
      </c>
      <c r="K117" s="56">
        <v>0</v>
      </c>
      <c r="L117" s="56">
        <v>0</v>
      </c>
      <c r="M117" s="61">
        <f t="shared" si="13"/>
        <v>-52704.61</v>
      </c>
      <c r="N117" s="56">
        <f>IF(ISNA(VLOOKUP($B117,'[2]Current Provision - HYP'!$A$10:$BQ$201,$E$5,FALSE))=TRUE,0,VLOOKUP($B117,'[2]Current Provision - HYP'!$A$10:$BQ$201,$E$5,FALSE))</f>
        <v>14489</v>
      </c>
      <c r="O117" s="56">
        <v>0</v>
      </c>
      <c r="P117" s="58">
        <v>0</v>
      </c>
      <c r="Q117" s="58">
        <v>0</v>
      </c>
      <c r="R117" s="58">
        <v>0</v>
      </c>
      <c r="S117" s="61">
        <f t="shared" si="14"/>
        <v>-38215.61</v>
      </c>
      <c r="T117" s="56"/>
      <c r="U117" s="63">
        <f t="shared" si="15"/>
        <v>0</v>
      </c>
      <c r="V117" s="56">
        <f t="shared" si="16"/>
        <v>14865.872289999999</v>
      </c>
      <c r="W117" s="64">
        <f t="shared" si="17"/>
        <v>-14865.872289999999</v>
      </c>
      <c r="X117" s="77"/>
      <c r="Y117" s="77"/>
      <c r="Z117" s="280">
        <f t="shared" si="18"/>
        <v>0</v>
      </c>
    </row>
    <row r="118" spans="1:26">
      <c r="A118" s="74" t="s">
        <v>217</v>
      </c>
      <c r="B118" s="75" t="str">
        <f>IF(ISNA(VLOOKUP($A118,'[2]Coding (Do not delete)'!$A$7:$K$656,3,FALSE))=TRUE,0,VLOOKUP($A118,'[2]Coding (Do not delete)'!$A$7:$K$656,8,FALSE))</f>
        <v>JE#  ZZ26  Def Hist - Def Comp Incentive Plan a/c 262317</v>
      </c>
      <c r="C118" s="54">
        <f>IF(ISNA(VLOOKUP($A118,'[2]Coding (Do not delete)'!$A$7:$K$656,5,FALSE))=TRUE,0,VLOOKUP($A118,'[2]Coding (Do not delete)'!$A$7:$K$656,5,FALSE))</f>
        <v>262317</v>
      </c>
      <c r="D118" s="54" t="s">
        <v>68</v>
      </c>
      <c r="E118" s="54" t="s">
        <v>216</v>
      </c>
      <c r="F118" s="79"/>
      <c r="G118" s="61">
        <v>-30</v>
      </c>
      <c r="H118" s="56">
        <v>0</v>
      </c>
      <c r="I118" s="56"/>
      <c r="J118" s="56">
        <v>0</v>
      </c>
      <c r="K118" s="56">
        <v>0</v>
      </c>
      <c r="L118" s="56">
        <v>0</v>
      </c>
      <c r="M118" s="61">
        <f t="shared" si="13"/>
        <v>-30</v>
      </c>
      <c r="N118" s="56">
        <f>IF(ISNA(VLOOKUP($B118,'[2]Current Provision - HYP'!$A$10:$BQ$201,$E$5,FALSE))=TRUE,0,VLOOKUP($B118,'[2]Current Provision - HYP'!$A$10:$BQ$201,$E$5,FALSE))</f>
        <v>0</v>
      </c>
      <c r="O118" s="56">
        <v>0</v>
      </c>
      <c r="P118" s="58">
        <v>0</v>
      </c>
      <c r="Q118" s="58">
        <v>0</v>
      </c>
      <c r="R118" s="58">
        <v>0</v>
      </c>
      <c r="S118" s="61">
        <f t="shared" si="14"/>
        <v>-30</v>
      </c>
      <c r="T118" s="56"/>
      <c r="U118" s="63">
        <f t="shared" si="15"/>
        <v>0</v>
      </c>
      <c r="V118" s="56">
        <f t="shared" si="16"/>
        <v>11.669999999999998</v>
      </c>
      <c r="W118" s="64">
        <f t="shared" si="17"/>
        <v>-11.669999999999998</v>
      </c>
      <c r="X118" s="58"/>
      <c r="Z118" s="279">
        <f t="shared" si="18"/>
        <v>0</v>
      </c>
    </row>
    <row r="119" spans="1:26" ht="15">
      <c r="A119" s="74" t="s">
        <v>218</v>
      </c>
      <c r="B119" s="75" t="str">
        <f>IF(ISNA(VLOOKUP($A119,'[2]Coding (Do not delete)'!$A$7:$K$656,3,FALSE))=TRUE,0,VLOOKUP($A119,'[2]Coding (Do not delete)'!$A$7:$K$656,8,FALSE))</f>
        <v>JE#  T123  Incentive Plan (Incen 4) - AWW Only</v>
      </c>
      <c r="C119" s="54">
        <f>IF(ISNA(VLOOKUP($A119,'[2]Coding (Do not delete)'!$A$7:$K$656,5,FALSE))=TRUE,0,VLOOKUP($A119,'[2]Coding (Do not delete)'!$A$7:$K$656,5,FALSE))</f>
        <v>205425</v>
      </c>
      <c r="D119" s="54" t="s">
        <v>68</v>
      </c>
      <c r="E119" s="54" t="s">
        <v>213</v>
      </c>
      <c r="F119" s="79"/>
      <c r="G119" s="61">
        <v>0</v>
      </c>
      <c r="H119" s="56">
        <v>0</v>
      </c>
      <c r="I119" s="56"/>
      <c r="J119" s="56">
        <v>0</v>
      </c>
      <c r="K119" s="56">
        <v>0</v>
      </c>
      <c r="L119" s="56">
        <v>0</v>
      </c>
      <c r="M119" s="61">
        <f t="shared" si="13"/>
        <v>0</v>
      </c>
      <c r="N119" s="56">
        <f>IF(ISNA(VLOOKUP($B119,'[2]Current Provision - HYP'!$A$10:$BQ$201,$E$5,FALSE))=TRUE,0,VLOOKUP($B119,'[2]Current Provision - HYP'!$A$10:$BQ$201,$E$5,FALSE))</f>
        <v>0</v>
      </c>
      <c r="O119" s="56">
        <v>0</v>
      </c>
      <c r="P119" s="58">
        <v>0</v>
      </c>
      <c r="Q119" s="58">
        <v>0</v>
      </c>
      <c r="R119" s="58">
        <v>0</v>
      </c>
      <c r="S119" s="61">
        <f t="shared" si="14"/>
        <v>0</v>
      </c>
      <c r="T119" s="56"/>
      <c r="U119" s="63">
        <f t="shared" si="15"/>
        <v>0</v>
      </c>
      <c r="V119" s="56">
        <f t="shared" si="16"/>
        <v>0</v>
      </c>
      <c r="W119" s="64">
        <f t="shared" si="17"/>
        <v>0</v>
      </c>
      <c r="X119" s="77"/>
      <c r="Y119" s="77"/>
      <c r="Z119" s="280">
        <f t="shared" si="18"/>
        <v>0</v>
      </c>
    </row>
    <row r="120" spans="1:26" ht="15">
      <c r="A120" s="74" t="s">
        <v>219</v>
      </c>
      <c r="B120" s="75" t="str">
        <f>IF(ISNA(VLOOKUP($A120,'[2]Coding (Do not delete)'!$A$7:$K$656,3,FALSE))=TRUE,0,VLOOKUP($A120,'[2]Coding (Do not delete)'!$A$7:$K$656,8,FALSE))</f>
        <v>JE#  T124  Incentive Plan (Incent 5)</v>
      </c>
      <c r="C120" s="54">
        <f>IF(ISNA(VLOOKUP($A120,'[2]Coding (Do not delete)'!$A$7:$K$656,5,FALSE))=TRUE,0,VLOOKUP($A120,'[2]Coding (Do not delete)'!$A$7:$K$656,5,FALSE))</f>
        <v>262318</v>
      </c>
      <c r="D120" s="54" t="s">
        <v>68</v>
      </c>
      <c r="E120" s="54" t="s">
        <v>213</v>
      </c>
      <c r="F120" s="79"/>
      <c r="G120" s="61">
        <v>0</v>
      </c>
      <c r="H120" s="56">
        <v>0</v>
      </c>
      <c r="I120" s="56"/>
      <c r="J120" s="56">
        <v>0</v>
      </c>
      <c r="K120" s="56">
        <v>0</v>
      </c>
      <c r="L120" s="56">
        <v>0</v>
      </c>
      <c r="M120" s="61">
        <f t="shared" si="13"/>
        <v>0</v>
      </c>
      <c r="N120" s="56">
        <f>IF(ISNA(VLOOKUP($B120,'[2]Current Provision - HYP'!$A$10:$BQ$201,$E$5,FALSE))=TRUE,0,VLOOKUP($B120,'[2]Current Provision - HYP'!$A$10:$BQ$201,$E$5,FALSE))</f>
        <v>0</v>
      </c>
      <c r="O120" s="56">
        <v>0</v>
      </c>
      <c r="P120" s="58">
        <v>0</v>
      </c>
      <c r="Q120" s="58">
        <v>0</v>
      </c>
      <c r="R120" s="58">
        <v>0</v>
      </c>
      <c r="S120" s="61">
        <f t="shared" si="14"/>
        <v>0</v>
      </c>
      <c r="T120" s="56"/>
      <c r="U120" s="63">
        <f t="shared" si="15"/>
        <v>0</v>
      </c>
      <c r="V120" s="56">
        <f t="shared" si="16"/>
        <v>0</v>
      </c>
      <c r="W120" s="64">
        <f t="shared" si="17"/>
        <v>0</v>
      </c>
      <c r="X120" s="77"/>
      <c r="Y120" s="77"/>
      <c r="Z120" s="280">
        <f t="shared" si="18"/>
        <v>0</v>
      </c>
    </row>
    <row r="121" spans="1:26">
      <c r="A121" s="74" t="s">
        <v>220</v>
      </c>
      <c r="B121" s="75" t="str">
        <f>IF(ISNA(VLOOKUP($A121,'[2]Coding (Do not delete)'!$A$7:$K$656,3,FALSE))=TRUE,0,VLOOKUP($A121,'[2]Coding (Do not delete)'!$A$7:$K$656,8,FALSE))</f>
        <v>JE#  ZZ39  Def Hist - Incentive Plan-Stock - a/c 262318</v>
      </c>
      <c r="C121" s="65">
        <f>IF(ISNA(VLOOKUP($A121,'[2]Coding (Do not delete)'!$A$7:$K$656,5,FALSE))=TRUE,0,VLOOKUP($A121,'[2]Coding (Do not delete)'!$A$7:$K$656,5,FALSE))</f>
        <v>262318</v>
      </c>
      <c r="D121" s="65" t="s">
        <v>68</v>
      </c>
      <c r="E121" s="65" t="s">
        <v>213</v>
      </c>
      <c r="F121" s="79"/>
      <c r="G121" s="61">
        <v>0</v>
      </c>
      <c r="H121" s="56">
        <v>0</v>
      </c>
      <c r="I121" s="56"/>
      <c r="J121" s="56">
        <v>0</v>
      </c>
      <c r="K121" s="56">
        <v>0</v>
      </c>
      <c r="L121" s="56">
        <v>0</v>
      </c>
      <c r="M121" s="61">
        <f t="shared" si="13"/>
        <v>0</v>
      </c>
      <c r="N121" s="56">
        <f>IF(ISNA(VLOOKUP($B121,'[2]Current Provision - HYP'!$A$10:$BQ$201,$E$5,FALSE))=TRUE,0,VLOOKUP($B121,'[2]Current Provision - HYP'!$A$10:$BQ$201,$E$5,FALSE))</f>
        <v>0</v>
      </c>
      <c r="O121" s="56">
        <v>0</v>
      </c>
      <c r="P121" s="58">
        <v>0</v>
      </c>
      <c r="Q121" s="58">
        <v>0</v>
      </c>
      <c r="R121" s="58">
        <v>0</v>
      </c>
      <c r="S121" s="61">
        <f t="shared" si="14"/>
        <v>0</v>
      </c>
      <c r="T121" s="56"/>
      <c r="U121" s="63">
        <f t="shared" si="15"/>
        <v>0</v>
      </c>
      <c r="V121" s="56">
        <f t="shared" si="16"/>
        <v>0</v>
      </c>
      <c r="W121" s="64">
        <f t="shared" si="17"/>
        <v>0</v>
      </c>
      <c r="X121" s="58"/>
      <c r="Z121" s="279">
        <f t="shared" si="18"/>
        <v>0</v>
      </c>
    </row>
    <row r="122" spans="1:26">
      <c r="A122" s="74" t="s">
        <v>221</v>
      </c>
      <c r="B122" s="75" t="str">
        <f>IF(ISNA(VLOOKUP($A122,'[2]Coding (Do not delete)'!$A$7:$K$656,3,FALSE))=TRUE,0,VLOOKUP($A122,'[2]Coding (Do not delete)'!$A$7:$K$656,8,FALSE))</f>
        <v>JE#  T021  Deferred Revenue - CIAC (CIAC 2)</v>
      </c>
      <c r="C122" s="65">
        <f>IF(ISNA(VLOOKUP($A122,'[2]Coding (Do not delete)'!$A$7:$K$656,5,FALSE))=TRUE,0,VLOOKUP($A122,'[2]Coding (Do not delete)'!$A$7:$K$656,5,FALSE))</f>
        <v>262400</v>
      </c>
      <c r="D122" s="65" t="s">
        <v>145</v>
      </c>
      <c r="E122" s="65" t="s">
        <v>196</v>
      </c>
      <c r="F122" s="79"/>
      <c r="G122" s="61">
        <v>0</v>
      </c>
      <c r="H122" s="56">
        <v>0</v>
      </c>
      <c r="I122" s="56"/>
      <c r="J122" s="56">
        <v>0</v>
      </c>
      <c r="K122" s="56">
        <v>0</v>
      </c>
      <c r="L122" s="56">
        <v>0</v>
      </c>
      <c r="M122" s="61">
        <f t="shared" si="13"/>
        <v>0</v>
      </c>
      <c r="N122" s="56">
        <f>IF(ISNA(VLOOKUP($B122,'[2]Current Provision - HYP'!$A$10:$BQ$201,$E$5,FALSE))=TRUE,0,VLOOKUP($B122,'[2]Current Provision - HYP'!$A$10:$BQ$201,$E$5,FALSE))</f>
        <v>0</v>
      </c>
      <c r="O122" s="56">
        <v>0</v>
      </c>
      <c r="P122" s="58">
        <v>0</v>
      </c>
      <c r="Q122" s="58">
        <v>0</v>
      </c>
      <c r="R122" s="58">
        <v>0</v>
      </c>
      <c r="S122" s="61">
        <f t="shared" si="14"/>
        <v>0</v>
      </c>
      <c r="T122" s="56"/>
      <c r="U122" s="63">
        <f t="shared" si="15"/>
        <v>0</v>
      </c>
      <c r="V122" s="56">
        <f t="shared" si="16"/>
        <v>0</v>
      </c>
      <c r="W122" s="64">
        <f t="shared" si="17"/>
        <v>0</v>
      </c>
      <c r="Z122" s="279">
        <f t="shared" si="18"/>
        <v>0</v>
      </c>
    </row>
    <row r="123" spans="1:26">
      <c r="A123" s="74" t="s">
        <v>222</v>
      </c>
      <c r="B123" s="75" t="str">
        <f>IF(ISNA(VLOOKUP($A123,'[2]Coding (Do not delete)'!$A$7:$K$656,3,FALSE))=TRUE,0,VLOOKUP($A123,'[2]Coding (Do not delete)'!$A$7:$K$656,8,FALSE))</f>
        <v>JE#  T026  Deferred Revenue - AIC (CAC 2)</v>
      </c>
      <c r="C123" s="65">
        <f>IF(ISNA(VLOOKUP($A123,'[2]Coding (Do not delete)'!$A$7:$K$656,5,FALSE))=TRUE,0,VLOOKUP($A123,'[2]Coding (Do not delete)'!$A$7:$K$656,5,FALSE))</f>
        <v>262420</v>
      </c>
      <c r="D123" s="65" t="s">
        <v>145</v>
      </c>
      <c r="E123" s="65" t="s">
        <v>196</v>
      </c>
      <c r="F123" s="79"/>
      <c r="G123" s="61">
        <v>-2784960</v>
      </c>
      <c r="H123" s="56">
        <v>-1396916</v>
      </c>
      <c r="I123" s="56"/>
      <c r="J123" s="56">
        <v>0</v>
      </c>
      <c r="K123" s="56">
        <v>0</v>
      </c>
      <c r="L123" s="56">
        <v>0</v>
      </c>
      <c r="M123" s="61">
        <f t="shared" si="13"/>
        <v>-4181876</v>
      </c>
      <c r="N123" s="56">
        <f>IF(ISNA(VLOOKUP($B123,'[2]Current Provision - HYP'!$A$10:$BQ$201,$E$5,FALSE))=TRUE,0,VLOOKUP($B123,'[2]Current Provision - HYP'!$A$10:$BQ$201,$E$5,FALSE))</f>
        <v>0</v>
      </c>
      <c r="O123" s="56">
        <v>0</v>
      </c>
      <c r="P123" s="58">
        <v>0</v>
      </c>
      <c r="Q123" s="58">
        <v>0</v>
      </c>
      <c r="R123" s="58">
        <v>0</v>
      </c>
      <c r="S123" s="61">
        <f t="shared" si="14"/>
        <v>-4181876</v>
      </c>
      <c r="T123" s="56"/>
      <c r="U123" s="63">
        <f t="shared" si="15"/>
        <v>0</v>
      </c>
      <c r="V123" s="56">
        <f t="shared" si="16"/>
        <v>1626749.7639999997</v>
      </c>
      <c r="W123" s="64">
        <f t="shared" si="17"/>
        <v>-1626749.7639999997</v>
      </c>
      <c r="Z123" s="279">
        <f t="shared" si="18"/>
        <v>0</v>
      </c>
    </row>
    <row r="124" spans="1:26" ht="15">
      <c r="A124" s="74" t="s">
        <v>223</v>
      </c>
      <c r="B124" s="75" t="str">
        <f>IF(ISNA(VLOOKUP($A124,'[2]Coding (Do not delete)'!$A$7:$K$656,3,FALSE))=TRUE,0,VLOOKUP($A124,'[2]Coding (Do not delete)'!$A$7:$K$656,8,FALSE))</f>
        <v>JE#  T161  Deferred Maintenance (Maint 2)</v>
      </c>
      <c r="C124" s="54">
        <f>IF(ISNA(VLOOKUP($A124,'[2]Coding (Do not delete)'!$A$7:$K$656,5,FALSE))=TRUE,0,VLOOKUP($A124,'[2]Coding (Do not delete)'!$A$7:$K$656,5,FALSE))</f>
        <v>265650</v>
      </c>
      <c r="D124" s="54" t="s">
        <v>68</v>
      </c>
      <c r="E124" s="54" t="s">
        <v>72</v>
      </c>
      <c r="F124" s="79"/>
      <c r="G124" s="61">
        <v>0</v>
      </c>
      <c r="H124" s="56">
        <v>0</v>
      </c>
      <c r="I124" s="56"/>
      <c r="J124" s="56">
        <v>0</v>
      </c>
      <c r="K124" s="56">
        <v>0</v>
      </c>
      <c r="L124" s="56">
        <v>0</v>
      </c>
      <c r="M124" s="61">
        <f t="shared" si="13"/>
        <v>0</v>
      </c>
      <c r="N124" s="56">
        <f>IF(ISNA(VLOOKUP($B124,'[2]Current Provision - HYP'!$A$10:$BQ$201,$E$5,FALSE))=TRUE,0,VLOOKUP($B124,'[2]Current Provision - HYP'!$A$10:$BQ$201,$E$5,FALSE))</f>
        <v>0</v>
      </c>
      <c r="O124" s="56">
        <v>0</v>
      </c>
      <c r="P124" s="58">
        <v>0</v>
      </c>
      <c r="Q124" s="58">
        <v>0</v>
      </c>
      <c r="R124" s="58">
        <v>0</v>
      </c>
      <c r="S124" s="61">
        <f t="shared" si="14"/>
        <v>0</v>
      </c>
      <c r="T124" s="56"/>
      <c r="U124" s="63">
        <f t="shared" si="15"/>
        <v>0</v>
      </c>
      <c r="V124" s="56">
        <f t="shared" si="16"/>
        <v>0</v>
      </c>
      <c r="W124" s="64">
        <f t="shared" si="17"/>
        <v>0</v>
      </c>
      <c r="X124" s="77"/>
      <c r="Y124" s="77"/>
      <c r="Z124" s="280">
        <f t="shared" si="18"/>
        <v>0</v>
      </c>
    </row>
    <row r="125" spans="1:26">
      <c r="A125" s="74" t="s">
        <v>224</v>
      </c>
      <c r="B125" s="75" t="str">
        <f>IF(ISNA(VLOOKUP($A125,'[2]Coding (Do not delete)'!$A$7:$K$656,3,FALSE))=TRUE,0,VLOOKUP($A125,'[2]Coding (Do not delete)'!$A$7:$K$656,8,FALSE))</f>
        <v>JE#  T020  Taxable Contributions (CIAC 1)</v>
      </c>
      <c r="C125" s="54">
        <f>IF(ISNA(VLOOKUP($A125,'[2]Coding (Do not delete)'!$A$7:$K$656,5,FALSE))=TRUE,0,VLOOKUP($A125,'[2]Coding (Do not delete)'!$A$7:$K$656,5,FALSE))</f>
        <v>271200</v>
      </c>
      <c r="D125" s="54" t="s">
        <v>145</v>
      </c>
      <c r="E125" s="54" t="s">
        <v>196</v>
      </c>
      <c r="F125" s="79"/>
      <c r="G125" s="61">
        <v>-10906331</v>
      </c>
      <c r="H125" s="56">
        <v>1396915</v>
      </c>
      <c r="I125" s="56"/>
      <c r="J125" s="56">
        <v>0</v>
      </c>
      <c r="K125" s="56">
        <v>0</v>
      </c>
      <c r="L125" s="56">
        <v>0</v>
      </c>
      <c r="M125" s="61">
        <f t="shared" si="13"/>
        <v>-9509416</v>
      </c>
      <c r="N125" s="56">
        <f>IF(ISNA(VLOOKUP($B125,'[2]Current Provision - HYP'!$A$10:$BQ$201,$E$5,FALSE))=TRUE,0,VLOOKUP($B125,'[2]Current Provision - HYP'!$A$10:$BQ$201,$E$5,FALSE))</f>
        <v>-1266259</v>
      </c>
      <c r="O125" s="56">
        <v>0</v>
      </c>
      <c r="P125" s="58">
        <v>0</v>
      </c>
      <c r="Q125" s="58">
        <v>0</v>
      </c>
      <c r="R125" s="58">
        <v>0</v>
      </c>
      <c r="S125" s="61">
        <f t="shared" si="14"/>
        <v>-10775675</v>
      </c>
      <c r="T125" s="56"/>
      <c r="U125" s="63">
        <f t="shared" si="15"/>
        <v>0</v>
      </c>
      <c r="V125" s="56">
        <f t="shared" si="16"/>
        <v>4191737.5749999997</v>
      </c>
      <c r="W125" s="64">
        <f t="shared" si="17"/>
        <v>-4191737.5749999997</v>
      </c>
      <c r="Z125" s="279">
        <f t="shared" si="18"/>
        <v>0</v>
      </c>
    </row>
    <row r="126" spans="1:26">
      <c r="A126" s="74" t="s">
        <v>225</v>
      </c>
      <c r="B126" s="75" t="str">
        <f>IF(ISNA(VLOOKUP($A126,'[2]Coding (Do not delete)'!$A$7:$K$656,3,FALSE))=TRUE,0,VLOOKUP($A126,'[2]Coding (Do not delete)'!$A$7:$K$656,8,FALSE))</f>
        <v>JE#  ZZ32  Def Hist - CIAC-Taxable SIT a/c 271300</v>
      </c>
      <c r="C126" s="54">
        <f>IF(ISNA(VLOOKUP($A126,'[2]Coding (Do not delete)'!$A$7:$K$656,5,FALSE))=TRUE,0,VLOOKUP($A126,'[2]Coding (Do not delete)'!$A$7:$K$656,5,FALSE))</f>
        <v>271300</v>
      </c>
      <c r="D126" s="54" t="s">
        <v>68</v>
      </c>
      <c r="E126" s="54" t="s">
        <v>196</v>
      </c>
      <c r="F126" s="79"/>
      <c r="G126" s="61">
        <v>0</v>
      </c>
      <c r="H126" s="56">
        <v>0</v>
      </c>
      <c r="I126" s="56"/>
      <c r="J126" s="56">
        <v>0</v>
      </c>
      <c r="K126" s="56">
        <v>0</v>
      </c>
      <c r="L126" s="56">
        <v>0</v>
      </c>
      <c r="M126" s="61">
        <f t="shared" si="13"/>
        <v>0</v>
      </c>
      <c r="N126" s="56">
        <f>IF(ISNA(VLOOKUP($B126,'[2]Current Provision - HYP'!$A$10:$BQ$201,$E$5,FALSE))=TRUE,0,VLOOKUP($B126,'[2]Current Provision - HYP'!$A$10:$BQ$201,$E$5,FALSE))</f>
        <v>0</v>
      </c>
      <c r="O126" s="56">
        <v>0</v>
      </c>
      <c r="P126" s="58">
        <v>0</v>
      </c>
      <c r="Q126" s="58">
        <v>0</v>
      </c>
      <c r="R126" s="58">
        <v>0</v>
      </c>
      <c r="S126" s="61">
        <f t="shared" si="14"/>
        <v>0</v>
      </c>
      <c r="T126" s="56"/>
      <c r="U126" s="63">
        <f t="shared" si="15"/>
        <v>0</v>
      </c>
      <c r="V126" s="56">
        <f t="shared" si="16"/>
        <v>0</v>
      </c>
      <c r="W126" s="64">
        <f t="shared" si="17"/>
        <v>0</v>
      </c>
      <c r="X126" s="58"/>
      <c r="Z126" s="279">
        <f t="shared" si="18"/>
        <v>0</v>
      </c>
    </row>
    <row r="127" spans="1:26">
      <c r="A127" s="74" t="s">
        <v>226</v>
      </c>
      <c r="B127" s="75" t="str">
        <f>IF(ISNA(VLOOKUP($A127,'[2]Coding (Do not delete)'!$A$7:$K$656,3,FALSE))=TRUE,0,VLOOKUP($A127,'[2]Coding (Do not delete)'!$A$7:$K$656,8,FALSE))</f>
        <v>JE#  ZZ30  Def Hist - Accum Amort-CIAC a/c 272000</v>
      </c>
      <c r="C127" s="54">
        <f>IF(ISNA(VLOOKUP($A127,'[2]Coding (Do not delete)'!$A$7:$K$656,5,FALSE))=TRUE,0,VLOOKUP($A127,'[2]Coding (Do not delete)'!$A$7:$K$656,5,FALSE))</f>
        <v>272000</v>
      </c>
      <c r="D127" s="54" t="s">
        <v>68</v>
      </c>
      <c r="E127" s="54" t="s">
        <v>90</v>
      </c>
      <c r="F127" s="79"/>
      <c r="G127" s="61">
        <v>0</v>
      </c>
      <c r="H127" s="56">
        <v>0</v>
      </c>
      <c r="I127" s="56"/>
      <c r="J127" s="56">
        <v>0</v>
      </c>
      <c r="K127" s="56">
        <v>0</v>
      </c>
      <c r="L127" s="56">
        <v>0</v>
      </c>
      <c r="M127" s="61">
        <f t="shared" si="13"/>
        <v>0</v>
      </c>
      <c r="N127" s="56">
        <f>IF(ISNA(VLOOKUP($B127,'[2]Current Provision - HYP'!$A$10:$BQ$201,$E$5,FALSE))=TRUE,0,VLOOKUP($B127,'[2]Current Provision - HYP'!$A$10:$BQ$201,$E$5,FALSE))</f>
        <v>0</v>
      </c>
      <c r="O127" s="56">
        <v>0</v>
      </c>
      <c r="P127" s="58">
        <v>0</v>
      </c>
      <c r="Q127" s="58">
        <v>0</v>
      </c>
      <c r="R127" s="58">
        <v>0</v>
      </c>
      <c r="S127" s="61">
        <f t="shared" si="14"/>
        <v>0</v>
      </c>
      <c r="T127" s="56"/>
      <c r="U127" s="63">
        <f t="shared" si="15"/>
        <v>0</v>
      </c>
      <c r="V127" s="56">
        <f t="shared" si="16"/>
        <v>0</v>
      </c>
      <c r="W127" s="64">
        <f t="shared" si="17"/>
        <v>0</v>
      </c>
      <c r="X127" s="58"/>
      <c r="Z127" s="279">
        <f t="shared" si="18"/>
        <v>0</v>
      </c>
    </row>
    <row r="128" spans="1:26">
      <c r="A128" s="74" t="s">
        <v>227</v>
      </c>
      <c r="B128" s="75" t="str">
        <f>IF(ISNA(VLOOKUP($A128,'[2]Coding (Do not delete)'!$A$7:$K$656,3,FALSE))=TRUE,0,VLOOKUP($A128,'[2]Coding (Do not delete)'!$A$7:$K$656,8,FALSE))</f>
        <v>JE#  ZZ35  Def Hist - Acc Amort-CIAC Taxable a/c 272100</v>
      </c>
      <c r="C128" s="65">
        <f>IF(ISNA(VLOOKUP($A128,'[2]Coding (Do not delete)'!$A$7:$K$656,5,FALSE))=TRUE,0,VLOOKUP($A128,'[2]Coding (Do not delete)'!$A$7:$K$656,5,FALSE))</f>
        <v>272100</v>
      </c>
      <c r="D128" s="65" t="s">
        <v>68</v>
      </c>
      <c r="E128" s="65" t="s">
        <v>90</v>
      </c>
      <c r="F128" s="79"/>
      <c r="G128" s="61">
        <v>0</v>
      </c>
      <c r="H128" s="56">
        <v>0</v>
      </c>
      <c r="I128" s="56"/>
      <c r="J128" s="56">
        <v>0</v>
      </c>
      <c r="K128" s="56">
        <v>0</v>
      </c>
      <c r="L128" s="56">
        <v>0</v>
      </c>
      <c r="M128" s="61">
        <f t="shared" si="13"/>
        <v>0</v>
      </c>
      <c r="N128" s="56">
        <f>IF(ISNA(VLOOKUP($B128,'[2]Current Provision - HYP'!$A$10:$BQ$201,$E$5,FALSE))=TRUE,0,VLOOKUP($B128,'[2]Current Provision - HYP'!$A$10:$BQ$201,$E$5,FALSE))</f>
        <v>0</v>
      </c>
      <c r="O128" s="56">
        <v>0</v>
      </c>
      <c r="P128" s="58">
        <v>0</v>
      </c>
      <c r="Q128" s="58">
        <v>0</v>
      </c>
      <c r="R128" s="58">
        <v>0</v>
      </c>
      <c r="S128" s="61">
        <f t="shared" si="14"/>
        <v>0</v>
      </c>
      <c r="T128" s="56"/>
      <c r="U128" s="63">
        <f t="shared" si="15"/>
        <v>0</v>
      </c>
      <c r="V128" s="56">
        <f t="shared" si="16"/>
        <v>0</v>
      </c>
      <c r="W128" s="64">
        <f t="shared" si="17"/>
        <v>0</v>
      </c>
      <c r="X128" s="58"/>
      <c r="Z128" s="279">
        <f t="shared" si="18"/>
        <v>0</v>
      </c>
    </row>
    <row r="129" spans="1:26">
      <c r="A129" s="74" t="s">
        <v>228</v>
      </c>
      <c r="B129" s="75" t="str">
        <f>IF(ISNA(VLOOKUP($A129,'[2]Coding (Do not delete)'!$A$7:$K$656,3,FALSE))=TRUE,0,VLOOKUP($A129,'[2]Coding (Do not delete)'!$A$7:$K$656,8,FALSE))</f>
        <v>JE#  T061  Deferred Tax Gain (Disp 2)</v>
      </c>
      <c r="C129" s="65">
        <f>IF(ISNA(VLOOKUP($A129,'[2]Coding (Do not delete)'!$A$7:$K$656,5,FALSE))=TRUE,0,VLOOKUP($A129,'[2]Coding (Do not delete)'!$A$7:$K$656,5,FALSE))</f>
        <v>900100</v>
      </c>
      <c r="D129" s="65" t="s">
        <v>93</v>
      </c>
      <c r="E129" s="65" t="s">
        <v>90</v>
      </c>
      <c r="F129" s="79"/>
      <c r="G129" s="61">
        <v>0</v>
      </c>
      <c r="H129" s="56">
        <v>0</v>
      </c>
      <c r="I129" s="56"/>
      <c r="J129" s="56">
        <v>0</v>
      </c>
      <c r="K129" s="56">
        <v>0</v>
      </c>
      <c r="L129" s="56">
        <v>0</v>
      </c>
      <c r="M129" s="61">
        <f t="shared" si="13"/>
        <v>0</v>
      </c>
      <c r="N129" s="56">
        <f>IF(ISNA(VLOOKUP($B129,'[2]Current Provision - HYP'!$A$10:$BQ$201,$E$5,FALSE))=TRUE,0,VLOOKUP($B129,'[2]Current Provision - HYP'!$A$10:$BQ$201,$E$5,FALSE))</f>
        <v>0</v>
      </c>
      <c r="O129" s="56">
        <v>0</v>
      </c>
      <c r="P129" s="58">
        <v>0</v>
      </c>
      <c r="Q129" s="58">
        <v>0</v>
      </c>
      <c r="R129" s="58">
        <v>0</v>
      </c>
      <c r="S129" s="61">
        <f t="shared" si="14"/>
        <v>0</v>
      </c>
      <c r="T129" s="56"/>
      <c r="U129" s="63">
        <f t="shared" si="15"/>
        <v>0</v>
      </c>
      <c r="V129" s="56">
        <f t="shared" si="16"/>
        <v>0</v>
      </c>
      <c r="W129" s="64">
        <f t="shared" si="17"/>
        <v>0</v>
      </c>
      <c r="Z129" s="279">
        <f t="shared" si="18"/>
        <v>0</v>
      </c>
    </row>
    <row r="130" spans="1:26">
      <c r="A130" s="74" t="s">
        <v>229</v>
      </c>
      <c r="B130" s="75" t="str">
        <f>IF(ISNA(VLOOKUP($A130,'[2]Coding (Do not delete)'!$A$7:$K$656,3,FALSE))=TRUE,0,VLOOKUP($A130,'[2]Coding (Do not delete)'!$A$7:$K$656,8,FALSE))</f>
        <v>JE#  T080  Current Deferred SIT/LIT (SIT 1)</v>
      </c>
      <c r="C130" s="65">
        <f>IF(ISNA(VLOOKUP($A130,'[2]Coding (Do not delete)'!$A$7:$K$656,5,FALSE))=TRUE,0,VLOOKUP($A130,'[2]Coding (Do not delete)'!$A$7:$K$656,5,FALSE))</f>
        <v>236320</v>
      </c>
      <c r="D130" s="65" t="s">
        <v>76</v>
      </c>
      <c r="E130" s="65" t="s">
        <v>72</v>
      </c>
      <c r="F130" s="79"/>
      <c r="G130" s="61">
        <v>0</v>
      </c>
      <c r="H130" s="56">
        <v>0</v>
      </c>
      <c r="I130" s="56"/>
      <c r="J130" s="56">
        <v>0</v>
      </c>
      <c r="K130" s="56">
        <v>0</v>
      </c>
      <c r="L130" s="56">
        <v>0</v>
      </c>
      <c r="M130" s="61">
        <f t="shared" si="13"/>
        <v>0</v>
      </c>
      <c r="N130" s="56">
        <f>IF(ISNA(VLOOKUP($B130,'[2]Current Provision - HYP'!$A$10:$BQ$201,$E$5,FALSE))=TRUE,0,VLOOKUP($B130,'[2]Current Provision - HYP'!$A$10:$BQ$201,$E$5,FALSE))</f>
        <v>0</v>
      </c>
      <c r="O130" s="56">
        <v>0</v>
      </c>
      <c r="P130" s="58">
        <v>0</v>
      </c>
      <c r="Q130" s="58">
        <v>0</v>
      </c>
      <c r="R130" s="58">
        <v>0</v>
      </c>
      <c r="S130" s="61">
        <f t="shared" si="14"/>
        <v>0</v>
      </c>
      <c r="T130" s="56"/>
      <c r="U130" s="63">
        <f t="shared" si="15"/>
        <v>0</v>
      </c>
      <c r="V130" s="56">
        <f t="shared" si="16"/>
        <v>0</v>
      </c>
      <c r="W130" s="64">
        <f t="shared" si="17"/>
        <v>0</v>
      </c>
      <c r="Z130" s="279">
        <f t="shared" si="18"/>
        <v>0</v>
      </c>
    </row>
    <row r="131" spans="1:26">
      <c r="A131" s="74" t="s">
        <v>230</v>
      </c>
      <c r="B131" s="75" t="str">
        <f>IF(ISNA(VLOOKUP($A131,'[2]Coding (Do not delete)'!$A$7:$K$656,3,FALSE))=TRUE,0,VLOOKUP($A131,'[2]Coding (Do not delete)'!$A$7:$K$656,8,FALSE))</f>
        <v>JE#  T081  Noncurrent Deferred SIT/LIT (SIT 2)</v>
      </c>
      <c r="C131" s="65">
        <f>IF(ISNA(VLOOKUP($A131,'[2]Coding (Do not delete)'!$A$7:$K$656,5,FALSE))=TRUE,0,VLOOKUP($A131,'[2]Coding (Do not delete)'!$A$7:$K$656,5,FALSE))</f>
        <v>253220</v>
      </c>
      <c r="D131" s="65" t="s">
        <v>76</v>
      </c>
      <c r="E131" s="65" t="s">
        <v>72</v>
      </c>
      <c r="F131" s="79"/>
      <c r="G131" s="61">
        <v>0</v>
      </c>
      <c r="H131" s="56">
        <v>0</v>
      </c>
      <c r="I131" s="56"/>
      <c r="J131" s="56">
        <v>0</v>
      </c>
      <c r="K131" s="56">
        <v>0</v>
      </c>
      <c r="L131" s="56">
        <v>0</v>
      </c>
      <c r="M131" s="61">
        <f t="shared" si="13"/>
        <v>0</v>
      </c>
      <c r="N131" s="56">
        <f>IF(ISNA(VLOOKUP($B131,'[2]Current Provision - HYP'!$A$10:$BQ$201,$E$5,FALSE))=TRUE,0,VLOOKUP($B131,'[2]Current Provision - HYP'!$A$10:$BQ$201,$E$5,FALSE))</f>
        <v>0</v>
      </c>
      <c r="O131" s="56">
        <v>0</v>
      </c>
      <c r="P131" s="58">
        <v>0</v>
      </c>
      <c r="Q131" s="58">
        <v>0</v>
      </c>
      <c r="R131" s="58">
        <v>0</v>
      </c>
      <c r="S131" s="61">
        <f t="shared" si="14"/>
        <v>0</v>
      </c>
      <c r="T131" s="56"/>
      <c r="U131" s="63">
        <f t="shared" si="15"/>
        <v>0</v>
      </c>
      <c r="V131" s="56">
        <f t="shared" si="16"/>
        <v>0</v>
      </c>
      <c r="W131" s="64">
        <f t="shared" si="17"/>
        <v>0</v>
      </c>
      <c r="Z131" s="279">
        <f t="shared" si="18"/>
        <v>0</v>
      </c>
    </row>
    <row r="132" spans="1:26">
      <c r="A132" s="74" t="s">
        <v>231</v>
      </c>
      <c r="B132" s="75" t="str">
        <f>IF(ISNA(VLOOKUP($A132,'[2]Coding (Do not delete)'!$A$7:$K$656,3,FALSE))=TRUE,0,VLOOKUP($A132,'[2]Coding (Do not delete)'!$A$7:$K$656,8,FALSE))</f>
        <v>JE#  T082  SIT - Unamortized ITC (SIT 3)</v>
      </c>
      <c r="C132" s="65">
        <f>IF(ISNA(VLOOKUP($A132,'[2]Coding (Do not delete)'!$A$7:$K$656,5,FALSE))=TRUE,0,VLOOKUP($A132,'[2]Coding (Do not delete)'!$A$7:$K$656,5,FALSE))</f>
        <v>255105</v>
      </c>
      <c r="D132" s="65" t="s">
        <v>76</v>
      </c>
      <c r="E132" s="65" t="s">
        <v>72</v>
      </c>
      <c r="F132" s="79"/>
      <c r="G132" s="61">
        <v>0</v>
      </c>
      <c r="H132" s="56">
        <v>0</v>
      </c>
      <c r="I132" s="56"/>
      <c r="J132" s="56">
        <v>0</v>
      </c>
      <c r="K132" s="56">
        <v>0</v>
      </c>
      <c r="L132" s="56">
        <v>0</v>
      </c>
      <c r="M132" s="61">
        <f t="shared" si="13"/>
        <v>0</v>
      </c>
      <c r="N132" s="56">
        <f>IF(ISNA(VLOOKUP($B132,'[2]Current Provision - HYP'!$A$10:$BQ$201,$E$5,FALSE))=TRUE,0,VLOOKUP($B132,'[2]Current Provision - HYP'!$A$10:$BQ$201,$E$5,FALSE))</f>
        <v>0</v>
      </c>
      <c r="O132" s="56">
        <v>0</v>
      </c>
      <c r="P132" s="58">
        <v>0</v>
      </c>
      <c r="Q132" s="58">
        <v>0</v>
      </c>
      <c r="R132" s="58">
        <v>0</v>
      </c>
      <c r="S132" s="61">
        <f t="shared" si="14"/>
        <v>0</v>
      </c>
      <c r="T132" s="56"/>
      <c r="U132" s="63">
        <f t="shared" si="15"/>
        <v>0</v>
      </c>
      <c r="V132" s="56">
        <f t="shared" si="16"/>
        <v>0</v>
      </c>
      <c r="W132" s="64">
        <f t="shared" si="17"/>
        <v>0</v>
      </c>
      <c r="Z132" s="279">
        <f t="shared" si="18"/>
        <v>0</v>
      </c>
    </row>
    <row r="133" spans="1:26">
      <c r="A133" s="74" t="s">
        <v>232</v>
      </c>
      <c r="B133" s="75" t="str">
        <f>IF(ISNA(VLOOKUP($A133,'[2]Coding (Do not delete)'!$A$7:$K$656,3,FALSE))=TRUE,0,VLOOKUP($A133,'[2]Coding (Do not delete)'!$A$7:$K$656,8,FALSE))</f>
        <v>JE#  T083  Deferred SIT - Reg Asset/Liability (SIT 4)</v>
      </c>
      <c r="C133" s="65">
        <f>IF(ISNA(VLOOKUP($A133,'[2]Coding (Do not delete)'!$A$7:$K$656,5,FALSE))=TRUE,0,VLOOKUP($A133,'[2]Coding (Do not delete)'!$A$7:$K$656,5,FALSE))</f>
        <v>210240</v>
      </c>
      <c r="D133" s="65" t="s">
        <v>76</v>
      </c>
      <c r="E133" s="65" t="s">
        <v>72</v>
      </c>
      <c r="F133" s="79"/>
      <c r="G133" s="61">
        <v>0</v>
      </c>
      <c r="H133" s="56">
        <v>0</v>
      </c>
      <c r="I133" s="56"/>
      <c r="J133" s="56">
        <v>0</v>
      </c>
      <c r="K133" s="56">
        <v>0</v>
      </c>
      <c r="L133" s="56">
        <v>0</v>
      </c>
      <c r="M133" s="61">
        <f t="shared" si="13"/>
        <v>0</v>
      </c>
      <c r="N133" s="56">
        <f>IF(ISNA(VLOOKUP($B133,'[2]Current Provision - HYP'!$A$10:$BQ$201,$E$5,FALSE))=TRUE,0,VLOOKUP($B133,'[2]Current Provision - HYP'!$A$10:$BQ$201,$E$5,FALSE))</f>
        <v>0</v>
      </c>
      <c r="O133" s="56">
        <v>0</v>
      </c>
      <c r="P133" s="58">
        <v>0</v>
      </c>
      <c r="Q133" s="58">
        <v>0</v>
      </c>
      <c r="R133" s="58">
        <v>0</v>
      </c>
      <c r="S133" s="61">
        <f t="shared" si="14"/>
        <v>0</v>
      </c>
      <c r="T133" s="56"/>
      <c r="U133" s="63">
        <f t="shared" si="15"/>
        <v>0</v>
      </c>
      <c r="V133" s="56">
        <f t="shared" si="16"/>
        <v>0</v>
      </c>
      <c r="W133" s="64">
        <f t="shared" si="17"/>
        <v>0</v>
      </c>
      <c r="Z133" s="279">
        <f t="shared" si="18"/>
        <v>0</v>
      </c>
    </row>
    <row r="134" spans="1:26">
      <c r="A134" s="74" t="s">
        <v>233</v>
      </c>
      <c r="B134" s="75" t="s">
        <v>234</v>
      </c>
      <c r="C134" s="65">
        <v>210240</v>
      </c>
      <c r="D134" s="65" t="s">
        <v>76</v>
      </c>
      <c r="E134" s="65" t="s">
        <v>72</v>
      </c>
      <c r="F134" s="79"/>
      <c r="G134" s="61">
        <v>0</v>
      </c>
      <c r="H134" s="56">
        <v>0</v>
      </c>
      <c r="I134" s="56"/>
      <c r="J134" s="56">
        <v>0</v>
      </c>
      <c r="K134" s="56">
        <v>0</v>
      </c>
      <c r="L134" s="56">
        <v>0</v>
      </c>
      <c r="M134" s="61">
        <f t="shared" si="13"/>
        <v>0</v>
      </c>
      <c r="N134" s="56">
        <f>IF(ISNA(VLOOKUP($B134,'[2]Current Provision - HYP'!$A$10:$BQ$201,$E$5,FALSE))=TRUE,0,VLOOKUP($B134,'[2]Current Provision - HYP'!$A$10:$BQ$201,$E$5,FALSE))</f>
        <v>0</v>
      </c>
      <c r="O134" s="56">
        <v>0</v>
      </c>
      <c r="P134" s="58">
        <v>0</v>
      </c>
      <c r="Q134" s="58">
        <v>0</v>
      </c>
      <c r="R134" s="58">
        <v>0</v>
      </c>
      <c r="S134" s="61">
        <f t="shared" si="14"/>
        <v>0</v>
      </c>
      <c r="T134" s="56"/>
      <c r="U134" s="63">
        <f t="shared" si="15"/>
        <v>0</v>
      </c>
      <c r="V134" s="56">
        <f t="shared" si="16"/>
        <v>0</v>
      </c>
      <c r="W134" s="64">
        <f t="shared" si="17"/>
        <v>0</v>
      </c>
      <c r="Z134" s="279">
        <f t="shared" si="18"/>
        <v>0</v>
      </c>
    </row>
    <row r="135" spans="1:26">
      <c r="A135" s="74" t="s">
        <v>235</v>
      </c>
      <c r="B135" s="75" t="s">
        <v>236</v>
      </c>
      <c r="C135" s="65">
        <v>236150</v>
      </c>
      <c r="D135" s="65" t="s">
        <v>76</v>
      </c>
      <c r="E135" s="65" t="s">
        <v>237</v>
      </c>
      <c r="F135" s="79"/>
      <c r="G135" s="61">
        <v>0</v>
      </c>
      <c r="H135" s="56">
        <v>0</v>
      </c>
      <c r="I135" s="56"/>
      <c r="J135" s="56">
        <v>0</v>
      </c>
      <c r="K135" s="56">
        <v>0</v>
      </c>
      <c r="L135" s="56">
        <v>0</v>
      </c>
      <c r="M135" s="61">
        <f t="shared" si="13"/>
        <v>0</v>
      </c>
      <c r="N135" s="56">
        <f>IF(ISNA(VLOOKUP($B135,'[2]Current Provision - HYP'!$A$10:$BQ$201,$E$5,FALSE))=TRUE,0,VLOOKUP($B135,'[2]Current Provision - HYP'!$A$10:$BQ$201,$E$5,FALSE))</f>
        <v>0</v>
      </c>
      <c r="O135" s="56">
        <v>0</v>
      </c>
      <c r="P135" s="58">
        <v>0</v>
      </c>
      <c r="Q135" s="58">
        <v>0</v>
      </c>
      <c r="R135" s="58">
        <v>0</v>
      </c>
      <c r="S135" s="61">
        <f t="shared" si="14"/>
        <v>0</v>
      </c>
      <c r="T135" s="56"/>
      <c r="U135" s="63">
        <f t="shared" si="15"/>
        <v>0</v>
      </c>
      <c r="V135" s="56">
        <f t="shared" si="16"/>
        <v>0</v>
      </c>
      <c r="W135" s="64">
        <f t="shared" si="17"/>
        <v>0</v>
      </c>
      <c r="Z135" s="279">
        <f t="shared" si="18"/>
        <v>0</v>
      </c>
    </row>
    <row r="136" spans="1:26">
      <c r="A136" s="74" t="s">
        <v>238</v>
      </c>
      <c r="B136" s="75" t="s">
        <v>239</v>
      </c>
      <c r="C136" s="65">
        <v>252200</v>
      </c>
      <c r="D136" s="65" t="s">
        <v>76</v>
      </c>
      <c r="E136" s="65" t="s">
        <v>196</v>
      </c>
      <c r="F136" s="79"/>
      <c r="G136" s="61">
        <v>0</v>
      </c>
      <c r="H136" s="56">
        <v>0</v>
      </c>
      <c r="I136" s="56"/>
      <c r="J136" s="56">
        <v>0</v>
      </c>
      <c r="K136" s="56">
        <v>0</v>
      </c>
      <c r="L136" s="56">
        <v>0</v>
      </c>
      <c r="M136" s="61">
        <f t="shared" si="13"/>
        <v>0</v>
      </c>
      <c r="N136" s="56">
        <f>IF(ISNA(VLOOKUP($B136,'[2]Current Provision - HYP'!$A$10:$BQ$201,$E$5,FALSE))=TRUE,0,VLOOKUP($B136,'[2]Current Provision - HYP'!$A$10:$BQ$201,$E$5,FALSE))</f>
        <v>0</v>
      </c>
      <c r="O136" s="56">
        <v>0</v>
      </c>
      <c r="P136" s="58">
        <v>0</v>
      </c>
      <c r="Q136" s="58">
        <v>0</v>
      </c>
      <c r="R136" s="58">
        <v>0</v>
      </c>
      <c r="S136" s="61">
        <f t="shared" si="14"/>
        <v>0</v>
      </c>
      <c r="T136" s="56"/>
      <c r="U136" s="63">
        <f t="shared" si="15"/>
        <v>0</v>
      </c>
      <c r="V136" s="56">
        <f t="shared" si="16"/>
        <v>0</v>
      </c>
      <c r="W136" s="64">
        <f t="shared" si="17"/>
        <v>0</v>
      </c>
      <c r="Z136" s="279">
        <f t="shared" si="18"/>
        <v>0</v>
      </c>
    </row>
    <row r="137" spans="1:26">
      <c r="A137" s="74" t="s">
        <v>240</v>
      </c>
      <c r="B137" s="75" t="s">
        <v>241</v>
      </c>
      <c r="C137" s="65">
        <v>210240</v>
      </c>
      <c r="D137" s="65" t="s">
        <v>76</v>
      </c>
      <c r="E137" s="65" t="s">
        <v>72</v>
      </c>
      <c r="F137" s="79"/>
      <c r="G137" s="61">
        <v>0</v>
      </c>
      <c r="H137" s="56">
        <v>0</v>
      </c>
      <c r="I137" s="56"/>
      <c r="J137" s="56">
        <v>0</v>
      </c>
      <c r="K137" s="56">
        <v>0</v>
      </c>
      <c r="L137" s="56">
        <v>0</v>
      </c>
      <c r="M137" s="61">
        <f t="shared" si="13"/>
        <v>0</v>
      </c>
      <c r="N137" s="56">
        <f>IF(ISNA(VLOOKUP($B137,'[2]Current Provision - HYP'!$A$10:$BQ$201,$E$5,FALSE))=TRUE,0,VLOOKUP($B137,'[2]Current Provision - HYP'!$A$10:$BQ$201,$E$5,FALSE))</f>
        <v>0</v>
      </c>
      <c r="O137" s="56">
        <v>0</v>
      </c>
      <c r="P137" s="58">
        <v>0</v>
      </c>
      <c r="Q137" s="58">
        <v>0</v>
      </c>
      <c r="R137" s="58">
        <v>0</v>
      </c>
      <c r="S137" s="61">
        <f t="shared" si="14"/>
        <v>0</v>
      </c>
      <c r="T137" s="56"/>
      <c r="U137" s="63">
        <f t="shared" si="15"/>
        <v>0</v>
      </c>
      <c r="V137" s="56">
        <f t="shared" si="16"/>
        <v>0</v>
      </c>
      <c r="W137" s="64">
        <f t="shared" si="17"/>
        <v>0</v>
      </c>
      <c r="Z137" s="279">
        <f t="shared" si="18"/>
        <v>0</v>
      </c>
    </row>
    <row r="138" spans="1:26">
      <c r="A138" s="74" t="s">
        <v>242</v>
      </c>
      <c r="B138" s="75" t="s">
        <v>243</v>
      </c>
      <c r="C138" s="65">
        <v>210240</v>
      </c>
      <c r="D138" s="65" t="s">
        <v>76</v>
      </c>
      <c r="E138" s="65" t="s">
        <v>72</v>
      </c>
      <c r="F138" s="79"/>
      <c r="G138" s="61">
        <v>0</v>
      </c>
      <c r="H138" s="56">
        <v>0</v>
      </c>
      <c r="I138" s="56"/>
      <c r="J138" s="56">
        <v>0</v>
      </c>
      <c r="K138" s="56">
        <v>0</v>
      </c>
      <c r="L138" s="56">
        <v>0</v>
      </c>
      <c r="M138" s="61">
        <f t="shared" si="13"/>
        <v>0</v>
      </c>
      <c r="N138" s="56">
        <f>IF(ISNA(VLOOKUP($B138,'[2]Current Provision - HYP'!$A$10:$BQ$201,$E$5,FALSE))=TRUE,0,VLOOKUP($B138,'[2]Current Provision - HYP'!$A$10:$BQ$201,$E$5,FALSE))</f>
        <v>0</v>
      </c>
      <c r="O138" s="56">
        <v>0</v>
      </c>
      <c r="P138" s="58">
        <v>0</v>
      </c>
      <c r="Q138" s="58">
        <v>0</v>
      </c>
      <c r="R138" s="58">
        <v>0</v>
      </c>
      <c r="S138" s="61">
        <f t="shared" si="14"/>
        <v>0</v>
      </c>
      <c r="T138" s="56"/>
      <c r="U138" s="63">
        <f t="shared" si="15"/>
        <v>0</v>
      </c>
      <c r="V138" s="56">
        <f t="shared" si="16"/>
        <v>0</v>
      </c>
      <c r="W138" s="64">
        <f t="shared" si="17"/>
        <v>0</v>
      </c>
      <c r="Z138" s="279">
        <f t="shared" si="18"/>
        <v>0</v>
      </c>
    </row>
    <row r="139" spans="1:26">
      <c r="A139" s="74" t="s">
        <v>244</v>
      </c>
      <c r="B139" s="75" t="s">
        <v>245</v>
      </c>
      <c r="C139" s="65">
        <v>210240</v>
      </c>
      <c r="D139" s="65" t="s">
        <v>76</v>
      </c>
      <c r="E139" s="65" t="s">
        <v>95</v>
      </c>
      <c r="F139" s="79"/>
      <c r="G139" s="61">
        <v>0</v>
      </c>
      <c r="H139" s="56">
        <v>0</v>
      </c>
      <c r="I139" s="56"/>
      <c r="J139" s="56">
        <v>0</v>
      </c>
      <c r="K139" s="56">
        <v>0</v>
      </c>
      <c r="L139" s="56">
        <v>0</v>
      </c>
      <c r="M139" s="61">
        <f t="shared" si="13"/>
        <v>0</v>
      </c>
      <c r="N139" s="56">
        <f>IF(ISNA(VLOOKUP($B139,'[2]Current Provision - HYP'!$A$10:$BQ$201,$E$5,FALSE))=TRUE,0,VLOOKUP($B139,'[2]Current Provision - HYP'!$A$10:$BQ$201,$E$5,FALSE))</f>
        <v>0</v>
      </c>
      <c r="O139" s="56">
        <v>0</v>
      </c>
      <c r="P139" s="58">
        <v>0</v>
      </c>
      <c r="Q139" s="58">
        <v>0</v>
      </c>
      <c r="R139" s="58">
        <v>0</v>
      </c>
      <c r="S139" s="61">
        <f t="shared" si="14"/>
        <v>0</v>
      </c>
      <c r="T139" s="56"/>
      <c r="U139" s="63">
        <f t="shared" si="15"/>
        <v>0</v>
      </c>
      <c r="V139" s="56">
        <f t="shared" si="16"/>
        <v>0</v>
      </c>
      <c r="W139" s="64">
        <f t="shared" si="17"/>
        <v>0</v>
      </c>
      <c r="Z139" s="279">
        <f t="shared" si="18"/>
        <v>0</v>
      </c>
    </row>
    <row r="140" spans="1:26">
      <c r="A140" s="74" t="s">
        <v>246</v>
      </c>
      <c r="B140" s="75" t="s">
        <v>247</v>
      </c>
      <c r="C140" s="65"/>
      <c r="D140" s="65" t="s">
        <v>93</v>
      </c>
      <c r="E140" s="65" t="s">
        <v>118</v>
      </c>
      <c r="F140" s="79"/>
      <c r="G140" s="61">
        <v>1224649</v>
      </c>
      <c r="H140" s="56">
        <v>0</v>
      </c>
      <c r="I140" s="56"/>
      <c r="J140" s="56">
        <v>0</v>
      </c>
      <c r="K140" s="56">
        <v>0</v>
      </c>
      <c r="L140" s="56">
        <v>0</v>
      </c>
      <c r="M140" s="61">
        <f t="shared" si="13"/>
        <v>1224649</v>
      </c>
      <c r="N140" s="56">
        <f>IF(ISNA(VLOOKUP($B140,'[2]Current Provision - HYP'!$A$10:$BQ$201,$E$5,FALSE))=TRUE,0,VLOOKUP($B140,'[2]Current Provision - HYP'!$A$10:$BQ$201,$E$5,FALSE))</f>
        <v>0</v>
      </c>
      <c r="O140" s="56">
        <v>0</v>
      </c>
      <c r="P140" s="58">
        <v>0</v>
      </c>
      <c r="Q140" s="58">
        <v>0</v>
      </c>
      <c r="R140" s="58">
        <v>0</v>
      </c>
      <c r="S140" s="61">
        <f t="shared" si="14"/>
        <v>1224649</v>
      </c>
      <c r="T140" s="56"/>
      <c r="U140" s="63">
        <f t="shared" si="15"/>
        <v>476388.46099999995</v>
      </c>
      <c r="V140" s="56">
        <f t="shared" si="16"/>
        <v>0</v>
      </c>
      <c r="W140" s="64">
        <f t="shared" si="17"/>
        <v>476388.46099999995</v>
      </c>
      <c r="Z140" s="279">
        <f t="shared" si="18"/>
        <v>0</v>
      </c>
    </row>
    <row r="141" spans="1:26">
      <c r="A141" s="74" t="s">
        <v>248</v>
      </c>
      <c r="B141" s="75" t="s">
        <v>249</v>
      </c>
      <c r="C141" s="65">
        <v>255105</v>
      </c>
      <c r="D141" s="65" t="s">
        <v>76</v>
      </c>
      <c r="E141" s="65" t="s">
        <v>95</v>
      </c>
      <c r="F141" s="79"/>
      <c r="G141" s="61">
        <v>0</v>
      </c>
      <c r="H141" s="56">
        <v>0</v>
      </c>
      <c r="I141" s="56"/>
      <c r="J141" s="56">
        <v>0</v>
      </c>
      <c r="K141" s="56">
        <v>0</v>
      </c>
      <c r="L141" s="56">
        <v>0</v>
      </c>
      <c r="M141" s="61">
        <f t="shared" si="13"/>
        <v>0</v>
      </c>
      <c r="N141" s="56">
        <f>IF(ISNA(VLOOKUP($B141,'[2]Current Provision - HYP'!$A$10:$BQ$201,$E$5,FALSE))=TRUE,0,VLOOKUP($B141,'[2]Current Provision - HYP'!$A$10:$BQ$201,$E$5,FALSE))</f>
        <v>0</v>
      </c>
      <c r="O141" s="56">
        <v>0</v>
      </c>
      <c r="P141" s="58">
        <v>0</v>
      </c>
      <c r="Q141" s="58">
        <v>0</v>
      </c>
      <c r="R141" s="58">
        <v>0</v>
      </c>
      <c r="S141" s="61">
        <f t="shared" si="14"/>
        <v>0</v>
      </c>
      <c r="T141" s="56"/>
      <c r="U141" s="63">
        <f t="shared" si="15"/>
        <v>0</v>
      </c>
      <c r="V141" s="56">
        <f t="shared" si="16"/>
        <v>0</v>
      </c>
      <c r="W141" s="64">
        <f t="shared" si="17"/>
        <v>0</v>
      </c>
      <c r="Z141" s="279">
        <f t="shared" si="18"/>
        <v>0</v>
      </c>
    </row>
    <row r="142" spans="1:26">
      <c r="A142" s="74" t="s">
        <v>250</v>
      </c>
      <c r="B142" s="75" t="s">
        <v>251</v>
      </c>
      <c r="C142" s="65">
        <v>236320</v>
      </c>
      <c r="D142" s="65" t="s">
        <v>76</v>
      </c>
      <c r="E142" s="65" t="s">
        <v>95</v>
      </c>
      <c r="F142" s="79"/>
      <c r="G142" s="61">
        <v>0</v>
      </c>
      <c r="H142" s="56">
        <v>0</v>
      </c>
      <c r="I142" s="56"/>
      <c r="J142" s="56">
        <v>0</v>
      </c>
      <c r="K142" s="56">
        <v>0</v>
      </c>
      <c r="L142" s="56">
        <v>0</v>
      </c>
      <c r="M142" s="61">
        <f t="shared" si="13"/>
        <v>0</v>
      </c>
      <c r="N142" s="56">
        <f>IF(ISNA(VLOOKUP($B142,'[2]Current Provision - HYP'!$A$10:$BQ$201,$E$5,FALSE))=TRUE,0,VLOOKUP($B142,'[2]Current Provision - HYP'!$A$10:$BQ$201,$E$5,FALSE))</f>
        <v>0</v>
      </c>
      <c r="O142" s="56">
        <v>0</v>
      </c>
      <c r="P142" s="58">
        <v>0</v>
      </c>
      <c r="Q142" s="58">
        <v>0</v>
      </c>
      <c r="R142" s="58">
        <v>0</v>
      </c>
      <c r="S142" s="61">
        <f t="shared" si="14"/>
        <v>0</v>
      </c>
      <c r="T142" s="56"/>
      <c r="U142" s="63">
        <f t="shared" si="15"/>
        <v>0</v>
      </c>
      <c r="V142" s="56">
        <f t="shared" si="16"/>
        <v>0</v>
      </c>
      <c r="W142" s="64">
        <f t="shared" si="17"/>
        <v>0</v>
      </c>
      <c r="Z142" s="279">
        <f t="shared" si="18"/>
        <v>0</v>
      </c>
    </row>
    <row r="143" spans="1:26">
      <c r="A143" s="74" t="s">
        <v>252</v>
      </c>
      <c r="B143" s="75" t="s">
        <v>253</v>
      </c>
      <c r="C143" s="65">
        <v>253220</v>
      </c>
      <c r="D143" s="65" t="s">
        <v>76</v>
      </c>
      <c r="E143" s="65" t="s">
        <v>95</v>
      </c>
      <c r="F143" s="79"/>
      <c r="G143" s="61">
        <v>0</v>
      </c>
      <c r="H143" s="56">
        <v>0</v>
      </c>
      <c r="I143" s="56"/>
      <c r="J143" s="56">
        <v>0</v>
      </c>
      <c r="K143" s="56">
        <v>0</v>
      </c>
      <c r="L143" s="56">
        <v>0</v>
      </c>
      <c r="M143" s="61">
        <f t="shared" si="13"/>
        <v>0</v>
      </c>
      <c r="N143" s="56">
        <f>IF(ISNA(VLOOKUP($B143,'[2]Current Provision - HYP'!$A$10:$BQ$201,$E$5,FALSE))=TRUE,0,VLOOKUP($B143,'[2]Current Provision - HYP'!$A$10:$BQ$201,$E$5,FALSE))</f>
        <v>0</v>
      </c>
      <c r="O143" s="56">
        <v>0</v>
      </c>
      <c r="P143" s="58">
        <v>0</v>
      </c>
      <c r="Q143" s="58">
        <v>0</v>
      </c>
      <c r="R143" s="58">
        <v>0</v>
      </c>
      <c r="S143" s="61">
        <f t="shared" si="14"/>
        <v>0</v>
      </c>
      <c r="T143" s="56"/>
      <c r="U143" s="63">
        <f t="shared" si="15"/>
        <v>0</v>
      </c>
      <c r="V143" s="56">
        <f t="shared" si="16"/>
        <v>0</v>
      </c>
      <c r="W143" s="64">
        <f t="shared" si="17"/>
        <v>0</v>
      </c>
      <c r="Z143" s="279">
        <f t="shared" si="18"/>
        <v>0</v>
      </c>
    </row>
    <row r="144" spans="1:26">
      <c r="A144" s="57" t="s">
        <v>254</v>
      </c>
      <c r="B144" s="59" t="str">
        <f>IF(ISNA(VLOOKUP($A144,'[2]Coding (Do not delete)'!$A$7:$K$656,3,FALSE))=TRUE,0,VLOOKUP($A144,'[2]Coding (Do not delete)'!$A$7:$K$656,8,FALSE))</f>
        <v>Medicare Subsidy offset (T225 in P/Y)</v>
      </c>
      <c r="C144" s="54">
        <v>262210</v>
      </c>
      <c r="D144" s="54" t="s">
        <v>76</v>
      </c>
      <c r="E144" s="54" t="s">
        <v>173</v>
      </c>
      <c r="F144" s="79"/>
      <c r="G144" s="61">
        <v>0</v>
      </c>
      <c r="H144" s="56">
        <v>0</v>
      </c>
      <c r="I144" s="56"/>
      <c r="J144" s="56">
        <v>0</v>
      </c>
      <c r="K144" s="56">
        <v>0</v>
      </c>
      <c r="L144" s="56">
        <v>0</v>
      </c>
      <c r="M144" s="61">
        <f t="shared" si="13"/>
        <v>0</v>
      </c>
      <c r="N144" s="56">
        <f>IF(ISNA(VLOOKUP($B144,'[2]Current Provision - HYP'!$A$10:$BQ$201,$E$5,FALSE))=TRUE,0,VLOOKUP($B144,'[2]Current Provision - HYP'!$A$10:$BQ$201,$E$5,FALSE))</f>
        <v>0</v>
      </c>
      <c r="O144" s="56">
        <v>0</v>
      </c>
      <c r="P144" s="58">
        <v>0</v>
      </c>
      <c r="Q144" s="58">
        <v>0</v>
      </c>
      <c r="R144" s="58">
        <v>0</v>
      </c>
      <c r="S144" s="61">
        <f t="shared" si="14"/>
        <v>0</v>
      </c>
      <c r="T144" s="56"/>
      <c r="U144" s="63">
        <f t="shared" si="15"/>
        <v>0</v>
      </c>
      <c r="V144" s="56">
        <f t="shared" si="16"/>
        <v>0</v>
      </c>
      <c r="W144" s="64">
        <f t="shared" si="17"/>
        <v>0</v>
      </c>
      <c r="X144" s="58"/>
      <c r="Z144" s="279">
        <f t="shared" si="18"/>
        <v>0</v>
      </c>
    </row>
    <row r="145" spans="1:26">
      <c r="A145" s="57" t="s">
        <v>86</v>
      </c>
      <c r="B145" s="59" t="s">
        <v>255</v>
      </c>
      <c r="C145" s="59"/>
      <c r="D145" s="18" t="s">
        <v>68</v>
      </c>
      <c r="E145" s="54" t="s">
        <v>196</v>
      </c>
      <c r="F145" s="79"/>
      <c r="G145" s="61">
        <v>1226519</v>
      </c>
      <c r="H145" s="56">
        <v>0</v>
      </c>
      <c r="I145" s="56"/>
      <c r="J145" s="56">
        <v>0</v>
      </c>
      <c r="K145" s="56">
        <v>0</v>
      </c>
      <c r="L145" s="56">
        <v>0</v>
      </c>
      <c r="M145" s="61">
        <f t="shared" si="13"/>
        <v>1226519</v>
      </c>
      <c r="N145" s="56">
        <f>IF(ISNA(VLOOKUP($B145,'[2]Current Provision - HYP'!$A$10:$BQ$201,$E$5,FALSE))=TRUE,0,VLOOKUP($B145,'[2]Current Provision - HYP'!$A$10:$BQ$201,$E$5,FALSE))</f>
        <v>0</v>
      </c>
      <c r="O145" s="56">
        <v>0</v>
      </c>
      <c r="P145" s="58">
        <v>0</v>
      </c>
      <c r="Q145" s="58">
        <v>0</v>
      </c>
      <c r="R145" s="58">
        <v>0</v>
      </c>
      <c r="S145" s="61">
        <f t="shared" si="14"/>
        <v>1226519</v>
      </c>
      <c r="T145" s="56"/>
      <c r="U145" s="63">
        <f t="shared" si="15"/>
        <v>477115.89099999995</v>
      </c>
      <c r="V145" s="56">
        <f t="shared" si="16"/>
        <v>0</v>
      </c>
      <c r="W145" s="64">
        <f t="shared" si="17"/>
        <v>477115.89099999995</v>
      </c>
      <c r="X145" s="58"/>
      <c r="Z145" s="279">
        <f t="shared" si="18"/>
        <v>0</v>
      </c>
    </row>
    <row r="146" spans="1:26">
      <c r="A146" s="57" t="s">
        <v>86</v>
      </c>
      <c r="B146" s="59" t="s">
        <v>256</v>
      </c>
      <c r="C146" s="59">
        <v>0</v>
      </c>
      <c r="D146" s="18" t="s">
        <v>76</v>
      </c>
      <c r="E146" s="54" t="s">
        <v>257</v>
      </c>
      <c r="F146" s="79"/>
      <c r="G146" s="61">
        <v>0</v>
      </c>
      <c r="H146" s="56">
        <v>0</v>
      </c>
      <c r="I146" s="56"/>
      <c r="J146" s="56">
        <v>0</v>
      </c>
      <c r="K146" s="56">
        <v>0</v>
      </c>
      <c r="L146" s="56">
        <v>0</v>
      </c>
      <c r="M146" s="61">
        <f t="shared" si="13"/>
        <v>0</v>
      </c>
      <c r="N146" s="56">
        <f>IF(ISNA(VLOOKUP($B146,'[2]Current Provision - HYP'!$A$10:$BQ$201,$E$5,FALSE))=TRUE,0,VLOOKUP($B146,'[2]Current Provision - HYP'!$A$10:$BQ$201,$E$5,FALSE))</f>
        <v>0</v>
      </c>
      <c r="O146" s="56">
        <v>0</v>
      </c>
      <c r="P146" s="58">
        <v>0</v>
      </c>
      <c r="Q146" s="58">
        <v>0</v>
      </c>
      <c r="R146" s="58">
        <v>0</v>
      </c>
      <c r="S146" s="61">
        <f t="shared" si="14"/>
        <v>0</v>
      </c>
      <c r="T146" s="56"/>
      <c r="U146" s="63">
        <f t="shared" si="15"/>
        <v>0</v>
      </c>
      <c r="V146" s="56">
        <f t="shared" si="16"/>
        <v>0</v>
      </c>
      <c r="W146" s="64">
        <f t="shared" si="17"/>
        <v>0</v>
      </c>
      <c r="X146" s="58"/>
      <c r="Z146" s="279">
        <f t="shared" si="18"/>
        <v>0</v>
      </c>
    </row>
    <row r="147" spans="1:26">
      <c r="A147" s="57" t="s">
        <v>86</v>
      </c>
      <c r="B147" s="59" t="s">
        <v>258</v>
      </c>
      <c r="C147" s="59"/>
      <c r="D147" s="18" t="s">
        <v>68</v>
      </c>
      <c r="E147" s="54" t="s">
        <v>72</v>
      </c>
      <c r="F147" s="79"/>
      <c r="G147" s="61">
        <v>0</v>
      </c>
      <c r="H147" s="56">
        <v>0</v>
      </c>
      <c r="I147" s="56"/>
      <c r="J147" s="56">
        <v>0</v>
      </c>
      <c r="K147" s="56">
        <v>0</v>
      </c>
      <c r="L147" s="56">
        <v>0</v>
      </c>
      <c r="M147" s="61">
        <f t="shared" si="13"/>
        <v>0</v>
      </c>
      <c r="N147" s="56">
        <f>IF(ISNA(VLOOKUP($B147,'[2]Current Provision - HYP'!$A$10:$BQ$201,$E$5,FALSE))=TRUE,0,VLOOKUP($B147,'[2]Current Provision - HYP'!$A$10:$BQ$201,$E$5,FALSE))</f>
        <v>0</v>
      </c>
      <c r="O147" s="56">
        <v>0</v>
      </c>
      <c r="P147" s="58">
        <v>0</v>
      </c>
      <c r="Q147" s="58">
        <v>0</v>
      </c>
      <c r="R147" s="58">
        <v>0</v>
      </c>
      <c r="S147" s="61">
        <f t="shared" si="14"/>
        <v>0</v>
      </c>
      <c r="T147" s="56"/>
      <c r="U147" s="63">
        <f t="shared" si="15"/>
        <v>0</v>
      </c>
      <c r="V147" s="56">
        <f t="shared" si="16"/>
        <v>0</v>
      </c>
      <c r="W147" s="64">
        <f t="shared" si="17"/>
        <v>0</v>
      </c>
      <c r="X147" s="58"/>
      <c r="Z147" s="279">
        <f t="shared" si="18"/>
        <v>0</v>
      </c>
    </row>
    <row r="148" spans="1:26">
      <c r="A148" s="57" t="s">
        <v>86</v>
      </c>
      <c r="B148" s="75" t="s">
        <v>259</v>
      </c>
      <c r="C148" s="59"/>
      <c r="D148" s="18" t="s">
        <v>68</v>
      </c>
      <c r="E148" s="54" t="s">
        <v>90</v>
      </c>
      <c r="F148" s="79"/>
      <c r="G148" s="61">
        <v>-2395385.64</v>
      </c>
      <c r="H148" s="56">
        <v>0</v>
      </c>
      <c r="I148" s="56"/>
      <c r="J148" s="56">
        <v>0</v>
      </c>
      <c r="K148" s="56">
        <v>0</v>
      </c>
      <c r="L148" s="56">
        <v>0</v>
      </c>
      <c r="M148" s="61">
        <f t="shared" si="13"/>
        <v>-2395385.64</v>
      </c>
      <c r="N148" s="56">
        <f>IF(ISNA(VLOOKUP($B148,'[2]Current Provision - HYP'!$A$10:$BQ$201,$E$5,FALSE))=TRUE,0,VLOOKUP($B148,'[2]Current Provision - HYP'!$A$10:$BQ$201,$E$5,FALSE))</f>
        <v>0</v>
      </c>
      <c r="O148" s="56">
        <v>0</v>
      </c>
      <c r="P148" s="58">
        <v>0</v>
      </c>
      <c r="Q148" s="58">
        <v>0</v>
      </c>
      <c r="R148" s="58">
        <v>0</v>
      </c>
      <c r="S148" s="61">
        <f t="shared" si="14"/>
        <v>-2395385.64</v>
      </c>
      <c r="T148" s="56"/>
      <c r="U148" s="63">
        <f t="shared" si="15"/>
        <v>0</v>
      </c>
      <c r="V148" s="56">
        <f t="shared" si="16"/>
        <v>931805.01395999989</v>
      </c>
      <c r="W148" s="64">
        <f t="shared" si="17"/>
        <v>-931805.01395999989</v>
      </c>
      <c r="X148" s="58"/>
      <c r="Z148" s="279">
        <f t="shared" si="18"/>
        <v>0</v>
      </c>
    </row>
    <row r="149" spans="1:26">
      <c r="A149" s="57" t="s">
        <v>133</v>
      </c>
      <c r="B149" s="75" t="s">
        <v>260</v>
      </c>
      <c r="D149" s="18" t="s">
        <v>93</v>
      </c>
      <c r="E149" s="88" t="s">
        <v>113</v>
      </c>
      <c r="F149" s="79"/>
      <c r="G149" s="61">
        <v>0</v>
      </c>
      <c r="H149" s="56">
        <v>0</v>
      </c>
      <c r="I149" s="56"/>
      <c r="J149" s="56">
        <v>0</v>
      </c>
      <c r="K149" s="56">
        <v>0</v>
      </c>
      <c r="L149" s="56">
        <v>0</v>
      </c>
      <c r="M149" s="61">
        <f t="shared" si="13"/>
        <v>0</v>
      </c>
      <c r="N149" s="56">
        <f>IF(ISNA(VLOOKUP($B149,'[2]Current Provision - HYP'!$A$10:$BQ$201,$E$5,FALSE))=TRUE,0,VLOOKUP($B149,'[2]Current Provision - HYP'!$A$10:$BQ$201,$E$5,FALSE))</f>
        <v>0</v>
      </c>
      <c r="O149" s="56">
        <v>0</v>
      </c>
      <c r="P149" s="58">
        <v>0</v>
      </c>
      <c r="Q149" s="58">
        <v>0</v>
      </c>
      <c r="R149" s="58">
        <v>0</v>
      </c>
      <c r="S149" s="61">
        <f t="shared" si="14"/>
        <v>0</v>
      </c>
      <c r="T149" s="56"/>
      <c r="U149" s="63">
        <f t="shared" si="15"/>
        <v>0</v>
      </c>
      <c r="V149" s="56">
        <f t="shared" si="16"/>
        <v>0</v>
      </c>
      <c r="W149" s="64">
        <f t="shared" si="17"/>
        <v>0</v>
      </c>
      <c r="X149" s="58"/>
      <c r="Z149" s="279">
        <f t="shared" si="18"/>
        <v>0</v>
      </c>
    </row>
    <row r="150" spans="1:26">
      <c r="A150" s="57" t="s">
        <v>122</v>
      </c>
      <c r="B150" s="75" t="s">
        <v>261</v>
      </c>
      <c r="D150" s="18" t="s">
        <v>93</v>
      </c>
      <c r="E150" s="88" t="s">
        <v>118</v>
      </c>
      <c r="F150" s="79"/>
      <c r="G150" s="61">
        <v>1220821</v>
      </c>
      <c r="H150" s="56">
        <v>0</v>
      </c>
      <c r="I150" s="56"/>
      <c r="J150" s="56">
        <v>0</v>
      </c>
      <c r="K150" s="56">
        <v>0</v>
      </c>
      <c r="L150" s="56">
        <v>0</v>
      </c>
      <c r="M150" s="61">
        <f t="shared" si="13"/>
        <v>1220821</v>
      </c>
      <c r="N150" s="56">
        <f>IF(ISNA(VLOOKUP($B150,'[2]Current Provision - HYP'!$A$10:$BQ$201,$E$5,FALSE))=TRUE,0,VLOOKUP($B150,'[2]Current Provision - HYP'!$A$10:$BQ$201,$E$5,FALSE))</f>
        <v>0</v>
      </c>
      <c r="O150" s="56">
        <v>0</v>
      </c>
      <c r="P150" s="58">
        <v>0</v>
      </c>
      <c r="Q150" s="58">
        <v>0</v>
      </c>
      <c r="R150" s="58">
        <v>0</v>
      </c>
      <c r="S150" s="61">
        <f t="shared" si="14"/>
        <v>1220821</v>
      </c>
      <c r="T150" s="56"/>
      <c r="U150" s="63">
        <f t="shared" si="15"/>
        <v>474899.36899999995</v>
      </c>
      <c r="V150" s="56">
        <f t="shared" si="16"/>
        <v>0</v>
      </c>
      <c r="W150" s="64">
        <f t="shared" si="17"/>
        <v>474899.36899999995</v>
      </c>
      <c r="X150" s="58"/>
      <c r="Z150" s="279">
        <f t="shared" si="18"/>
        <v>0</v>
      </c>
    </row>
    <row r="151" spans="1:26">
      <c r="A151" s="57" t="s">
        <v>86</v>
      </c>
      <c r="B151" s="75" t="s">
        <v>262</v>
      </c>
      <c r="D151" s="18"/>
      <c r="E151" s="88" t="s">
        <v>137</v>
      </c>
      <c r="F151" s="79"/>
      <c r="G151" s="61">
        <v>0</v>
      </c>
      <c r="H151" s="56">
        <v>0</v>
      </c>
      <c r="I151" s="56"/>
      <c r="J151" s="56">
        <v>0</v>
      </c>
      <c r="K151" s="56">
        <v>0</v>
      </c>
      <c r="L151" s="56">
        <v>0</v>
      </c>
      <c r="M151" s="61">
        <f t="shared" si="13"/>
        <v>0</v>
      </c>
      <c r="N151" s="56">
        <f>IF(ISNA(VLOOKUP($B151,'[2]Current Provision - HYP'!$A$10:$BQ$201,$E$5,FALSE))=TRUE,0,VLOOKUP($B151,'[2]Current Provision - HYP'!$A$10:$BQ$201,$E$5,FALSE))</f>
        <v>0</v>
      </c>
      <c r="O151" s="56">
        <v>0</v>
      </c>
      <c r="P151" s="58">
        <v>0</v>
      </c>
      <c r="Q151" s="58">
        <v>0</v>
      </c>
      <c r="R151" s="58">
        <v>0</v>
      </c>
      <c r="S151" s="61">
        <f t="shared" si="14"/>
        <v>0</v>
      </c>
      <c r="T151" s="56"/>
      <c r="U151" s="63">
        <f t="shared" si="15"/>
        <v>0</v>
      </c>
      <c r="V151" s="56">
        <f t="shared" si="16"/>
        <v>0</v>
      </c>
      <c r="W151" s="64">
        <f t="shared" si="17"/>
        <v>0</v>
      </c>
      <c r="X151" s="58"/>
      <c r="Z151" s="279">
        <f t="shared" si="18"/>
        <v>0</v>
      </c>
    </row>
    <row r="152" spans="1:26">
      <c r="A152" s="57" t="s">
        <v>86</v>
      </c>
      <c r="B152" s="75" t="s">
        <v>263</v>
      </c>
      <c r="D152" s="18"/>
      <c r="E152" s="88" t="s">
        <v>137</v>
      </c>
      <c r="F152" s="79"/>
      <c r="G152" s="61">
        <v>0</v>
      </c>
      <c r="H152" s="56">
        <v>0</v>
      </c>
      <c r="I152" s="56"/>
      <c r="J152" s="56">
        <v>0</v>
      </c>
      <c r="K152" s="56">
        <v>0</v>
      </c>
      <c r="L152" s="56">
        <v>0</v>
      </c>
      <c r="M152" s="61">
        <f t="shared" si="13"/>
        <v>0</v>
      </c>
      <c r="N152" s="56">
        <f>IF(ISNA(VLOOKUP($B152,'[2]Current Provision - HYP'!$A$10:$BQ$201,$E$5,FALSE))=TRUE,0,VLOOKUP($B152,'[2]Current Provision - HYP'!$A$10:$BQ$201,$E$5,FALSE))</f>
        <v>0</v>
      </c>
      <c r="O152" s="56">
        <v>0</v>
      </c>
      <c r="P152" s="58">
        <v>0</v>
      </c>
      <c r="Q152" s="58">
        <v>0</v>
      </c>
      <c r="R152" s="58">
        <v>0</v>
      </c>
      <c r="S152" s="61">
        <f t="shared" si="14"/>
        <v>0</v>
      </c>
      <c r="T152" s="56"/>
      <c r="U152" s="63">
        <f t="shared" si="15"/>
        <v>0</v>
      </c>
      <c r="V152" s="56">
        <f t="shared" si="16"/>
        <v>0</v>
      </c>
      <c r="W152" s="64">
        <f t="shared" si="17"/>
        <v>0</v>
      </c>
      <c r="X152" s="58"/>
      <c r="Z152" s="279">
        <f t="shared" si="18"/>
        <v>0</v>
      </c>
    </row>
    <row r="153" spans="1:26">
      <c r="A153" s="57" t="s">
        <v>86</v>
      </c>
      <c r="B153" s="75" t="s">
        <v>264</v>
      </c>
      <c r="D153" s="18"/>
      <c r="E153" s="88" t="s">
        <v>137</v>
      </c>
      <c r="F153" s="79"/>
      <c r="G153" s="61">
        <v>0</v>
      </c>
      <c r="H153" s="56">
        <v>0</v>
      </c>
      <c r="I153" s="56"/>
      <c r="J153" s="56">
        <v>0</v>
      </c>
      <c r="K153" s="56">
        <v>0</v>
      </c>
      <c r="L153" s="56">
        <v>0</v>
      </c>
      <c r="M153" s="61">
        <f t="shared" si="13"/>
        <v>0</v>
      </c>
      <c r="N153" s="56">
        <f>IF(ISNA(VLOOKUP($B153,'[2]Current Provision - HYP'!$A$10:$BQ$201,$E$5,FALSE))=TRUE,0,VLOOKUP($B153,'[2]Current Provision - HYP'!$A$10:$BQ$201,$E$5,FALSE))</f>
        <v>0</v>
      </c>
      <c r="O153" s="56">
        <v>0</v>
      </c>
      <c r="P153" s="58">
        <v>0</v>
      </c>
      <c r="Q153" s="58">
        <v>0</v>
      </c>
      <c r="R153" s="58">
        <v>0</v>
      </c>
      <c r="S153" s="61">
        <f t="shared" si="14"/>
        <v>0</v>
      </c>
      <c r="T153" s="56"/>
      <c r="U153" s="63">
        <f t="shared" si="15"/>
        <v>0</v>
      </c>
      <c r="V153" s="56">
        <f t="shared" si="16"/>
        <v>0</v>
      </c>
      <c r="W153" s="64">
        <f t="shared" si="17"/>
        <v>0</v>
      </c>
      <c r="X153" s="58"/>
      <c r="Z153" s="279">
        <f t="shared" si="18"/>
        <v>0</v>
      </c>
    </row>
    <row r="154" spans="1:26">
      <c r="A154" s="57" t="s">
        <v>86</v>
      </c>
      <c r="B154" s="75" t="s">
        <v>89</v>
      </c>
      <c r="D154" s="18"/>
      <c r="E154" s="88" t="s">
        <v>95</v>
      </c>
      <c r="F154" s="79"/>
      <c r="G154" s="61">
        <v>0</v>
      </c>
      <c r="H154" s="56">
        <v>0</v>
      </c>
      <c r="I154" s="56"/>
      <c r="J154" s="56">
        <v>0</v>
      </c>
      <c r="K154" s="56">
        <v>0</v>
      </c>
      <c r="L154" s="56">
        <v>0</v>
      </c>
      <c r="M154" s="61">
        <f t="shared" si="13"/>
        <v>0</v>
      </c>
      <c r="N154" s="56">
        <f>IF(ISNA(VLOOKUP($B154,'[2]Current Provision - HYP'!$A$10:$BQ$201,$E$5,FALSE))=TRUE,0,VLOOKUP($B154,'[2]Current Provision - HYP'!$A$10:$BQ$201,$E$5,FALSE))</f>
        <v>0</v>
      </c>
      <c r="O154" s="56">
        <v>0</v>
      </c>
      <c r="P154" s="58">
        <v>0</v>
      </c>
      <c r="Q154" s="58">
        <v>0</v>
      </c>
      <c r="R154" s="58">
        <v>0</v>
      </c>
      <c r="S154" s="61">
        <f t="shared" si="14"/>
        <v>0</v>
      </c>
      <c r="T154" s="56"/>
      <c r="U154" s="63">
        <f t="shared" si="15"/>
        <v>0</v>
      </c>
      <c r="V154" s="56">
        <f t="shared" si="16"/>
        <v>0</v>
      </c>
      <c r="W154" s="64">
        <f t="shared" si="17"/>
        <v>0</v>
      </c>
      <c r="X154" s="58"/>
      <c r="Z154" s="279">
        <f t="shared" si="18"/>
        <v>0</v>
      </c>
    </row>
    <row r="155" spans="1:26">
      <c r="A155" s="57" t="s">
        <v>86</v>
      </c>
      <c r="B155" s="59" t="s">
        <v>265</v>
      </c>
      <c r="C155" s="59"/>
      <c r="D155" s="18" t="s">
        <v>68</v>
      </c>
      <c r="E155" s="88" t="s">
        <v>95</v>
      </c>
      <c r="F155" s="79"/>
      <c r="G155" s="61">
        <v>0</v>
      </c>
      <c r="H155" s="56">
        <v>0</v>
      </c>
      <c r="I155" s="56"/>
      <c r="J155" s="56">
        <v>0</v>
      </c>
      <c r="K155" s="56">
        <v>0</v>
      </c>
      <c r="L155" s="56">
        <v>0</v>
      </c>
      <c r="M155" s="61">
        <f t="shared" si="13"/>
        <v>0</v>
      </c>
      <c r="N155" s="56">
        <f>IF(ISNA(VLOOKUP($B155,'[2]Current Provision - HYP'!$A$10:$BQ$201,$E$5,FALSE))=TRUE,0,VLOOKUP($B155,'[2]Current Provision - HYP'!$A$10:$BQ$201,$E$5,FALSE))</f>
        <v>0</v>
      </c>
      <c r="O155" s="56">
        <v>0</v>
      </c>
      <c r="P155" s="58">
        <v>0</v>
      </c>
      <c r="Q155" s="58">
        <v>0</v>
      </c>
      <c r="R155" s="58">
        <v>0</v>
      </c>
      <c r="S155" s="61">
        <f t="shared" si="14"/>
        <v>0</v>
      </c>
      <c r="T155" s="56"/>
      <c r="U155" s="63">
        <f t="shared" si="15"/>
        <v>0</v>
      </c>
      <c r="V155" s="56">
        <f t="shared" si="16"/>
        <v>0</v>
      </c>
      <c r="W155" s="64">
        <f t="shared" si="17"/>
        <v>0</v>
      </c>
      <c r="X155" s="58"/>
      <c r="Z155" s="279">
        <f t="shared" si="18"/>
        <v>0</v>
      </c>
    </row>
    <row r="156" spans="1:26">
      <c r="A156" s="57"/>
      <c r="B156" s="59" t="s">
        <v>266</v>
      </c>
      <c r="D156" s="18"/>
      <c r="E156" s="54" t="s">
        <v>95</v>
      </c>
      <c r="F156" s="79"/>
      <c r="G156" s="56">
        <v>0</v>
      </c>
      <c r="H156" s="56">
        <v>0</v>
      </c>
      <c r="I156" s="56"/>
      <c r="J156" s="56">
        <v>0</v>
      </c>
      <c r="K156" s="56">
        <v>0</v>
      </c>
      <c r="L156" s="56">
        <v>0</v>
      </c>
      <c r="M156" s="61">
        <f t="shared" si="13"/>
        <v>0</v>
      </c>
      <c r="N156" s="56">
        <f>IF(ISNA(VLOOKUP($B156,'[2]Current Provision - HYP'!$A$10:$BQ$201,$E$5,FALSE))=TRUE,0,VLOOKUP($B156,'[2]Current Provision - HYP'!$A$10:$BQ$201,$E$5,FALSE))</f>
        <v>0</v>
      </c>
      <c r="O156" s="56">
        <v>0</v>
      </c>
      <c r="P156" s="58">
        <v>0</v>
      </c>
      <c r="Q156" s="58">
        <v>0</v>
      </c>
      <c r="R156" s="58">
        <v>0</v>
      </c>
      <c r="S156" s="61">
        <f t="shared" ref="S156:S174" si="19">SUM(M156:R156)</f>
        <v>0</v>
      </c>
      <c r="T156" s="56"/>
      <c r="U156" s="63">
        <f t="shared" si="15"/>
        <v>0</v>
      </c>
      <c r="V156" s="56">
        <f t="shared" si="16"/>
        <v>0</v>
      </c>
      <c r="W156" s="64">
        <f t="shared" si="17"/>
        <v>0</v>
      </c>
      <c r="X156" s="58"/>
      <c r="Z156" s="279"/>
    </row>
    <row r="157" spans="1:26">
      <c r="A157" s="57"/>
      <c r="B157" s="59" t="s">
        <v>267</v>
      </c>
      <c r="D157" s="18"/>
      <c r="E157" s="54" t="s">
        <v>268</v>
      </c>
      <c r="F157" s="79"/>
      <c r="G157" s="56">
        <v>0</v>
      </c>
      <c r="H157" s="56">
        <v>0</v>
      </c>
      <c r="I157" s="56"/>
      <c r="J157" s="56">
        <v>0</v>
      </c>
      <c r="K157" s="56">
        <v>0</v>
      </c>
      <c r="L157" s="56">
        <v>0</v>
      </c>
      <c r="M157" s="61">
        <f t="shared" si="13"/>
        <v>0</v>
      </c>
      <c r="N157" s="56">
        <f>IF(ISNA(VLOOKUP($B157,'[2]Current Provision - HYP'!$A$10:$BQ$201,$E$5,FALSE))=TRUE,0,VLOOKUP($B157,'[2]Current Provision - HYP'!$A$10:$BQ$201,$E$5,FALSE))</f>
        <v>0</v>
      </c>
      <c r="O157" s="56">
        <v>0</v>
      </c>
      <c r="P157" s="58">
        <v>0</v>
      </c>
      <c r="Q157" s="58">
        <v>0</v>
      </c>
      <c r="R157" s="58">
        <v>0</v>
      </c>
      <c r="S157" s="61">
        <f t="shared" si="19"/>
        <v>0</v>
      </c>
      <c r="T157" s="56"/>
      <c r="U157" s="63">
        <f t="shared" si="15"/>
        <v>0</v>
      </c>
      <c r="V157" s="56">
        <f t="shared" si="16"/>
        <v>0</v>
      </c>
      <c r="W157" s="64">
        <f t="shared" si="17"/>
        <v>0</v>
      </c>
      <c r="X157" s="58"/>
      <c r="Z157" s="279"/>
    </row>
    <row r="158" spans="1:26">
      <c r="A158" s="57"/>
      <c r="B158" s="59" t="s">
        <v>269</v>
      </c>
      <c r="D158" s="18"/>
      <c r="E158" s="54" t="s">
        <v>90</v>
      </c>
      <c r="F158" s="79"/>
      <c r="G158" s="56">
        <v>0</v>
      </c>
      <c r="H158" s="56">
        <v>0</v>
      </c>
      <c r="I158" s="56"/>
      <c r="J158" s="56">
        <v>0</v>
      </c>
      <c r="K158" s="56">
        <v>0</v>
      </c>
      <c r="L158" s="56">
        <v>0</v>
      </c>
      <c r="M158" s="61">
        <f t="shared" si="13"/>
        <v>0</v>
      </c>
      <c r="N158" s="56">
        <f>IF(ISNA(VLOOKUP($B158,'[2]Current Provision - HYP'!$A$10:$BQ$201,$E$5,FALSE))=TRUE,0,VLOOKUP($B158,'[2]Current Provision - HYP'!$A$10:$BQ$201,$E$5,FALSE))</f>
        <v>0</v>
      </c>
      <c r="O158" s="56">
        <v>0</v>
      </c>
      <c r="P158" s="58">
        <v>0</v>
      </c>
      <c r="Q158" s="58">
        <v>0</v>
      </c>
      <c r="R158" s="58">
        <v>0</v>
      </c>
      <c r="S158" s="61">
        <f t="shared" si="19"/>
        <v>0</v>
      </c>
      <c r="T158" s="56"/>
      <c r="U158" s="63">
        <f t="shared" si="15"/>
        <v>0</v>
      </c>
      <c r="V158" s="56">
        <f t="shared" si="16"/>
        <v>0</v>
      </c>
      <c r="W158" s="64">
        <f t="shared" si="17"/>
        <v>0</v>
      </c>
      <c r="X158" s="58"/>
      <c r="Z158" s="279"/>
    </row>
    <row r="159" spans="1:26">
      <c r="A159" s="57"/>
      <c r="B159" s="59" t="s">
        <v>270</v>
      </c>
      <c r="D159" s="18"/>
      <c r="E159" s="54" t="s">
        <v>72</v>
      </c>
      <c r="F159" s="79"/>
      <c r="G159" s="56">
        <v>0</v>
      </c>
      <c r="H159" s="56">
        <v>0</v>
      </c>
      <c r="I159" s="56"/>
      <c r="J159" s="56">
        <v>0</v>
      </c>
      <c r="K159" s="56">
        <v>0</v>
      </c>
      <c r="L159" s="56">
        <v>0</v>
      </c>
      <c r="M159" s="61">
        <f t="shared" si="13"/>
        <v>0</v>
      </c>
      <c r="N159" s="56">
        <f>IF(ISNA(VLOOKUP($B159,'[2]Current Provision - HYP'!$A$10:$BQ$201,$E$5,FALSE))=TRUE,0,VLOOKUP($B159,'[2]Current Provision - HYP'!$A$10:$BQ$201,$E$5,FALSE))</f>
        <v>0</v>
      </c>
      <c r="O159" s="56">
        <v>0</v>
      </c>
      <c r="P159" s="58">
        <v>0</v>
      </c>
      <c r="Q159" s="58">
        <v>0</v>
      </c>
      <c r="R159" s="58">
        <v>0</v>
      </c>
      <c r="S159" s="61">
        <f t="shared" si="19"/>
        <v>0</v>
      </c>
      <c r="T159" s="56"/>
      <c r="U159" s="63">
        <f t="shared" si="15"/>
        <v>0</v>
      </c>
      <c r="V159" s="56">
        <f t="shared" si="16"/>
        <v>0</v>
      </c>
      <c r="W159" s="64">
        <f t="shared" si="17"/>
        <v>0</v>
      </c>
      <c r="X159" s="58"/>
      <c r="Z159" s="279"/>
    </row>
    <row r="160" spans="1:26">
      <c r="A160" s="57"/>
      <c r="B160" s="59" t="s">
        <v>271</v>
      </c>
      <c r="D160" s="18"/>
      <c r="E160" s="54" t="s">
        <v>72</v>
      </c>
      <c r="F160" s="79"/>
      <c r="G160" s="56">
        <v>0</v>
      </c>
      <c r="H160" s="56">
        <v>0</v>
      </c>
      <c r="I160" s="56"/>
      <c r="J160" s="56">
        <v>0</v>
      </c>
      <c r="K160" s="56">
        <v>0</v>
      </c>
      <c r="L160" s="56">
        <v>0</v>
      </c>
      <c r="M160" s="61">
        <f t="shared" si="13"/>
        <v>0</v>
      </c>
      <c r="N160" s="56">
        <f>IF(ISNA(VLOOKUP($B160,'[2]Current Provision - HYP'!$A$10:$BQ$201,$E$5,FALSE))=TRUE,0,VLOOKUP($B160,'[2]Current Provision - HYP'!$A$10:$BQ$201,$E$5,FALSE))</f>
        <v>0</v>
      </c>
      <c r="O160" s="56">
        <v>0</v>
      </c>
      <c r="P160" s="58">
        <v>0</v>
      </c>
      <c r="Q160" s="58">
        <v>0</v>
      </c>
      <c r="R160" s="58">
        <v>0</v>
      </c>
      <c r="S160" s="61">
        <f t="shared" si="19"/>
        <v>0</v>
      </c>
      <c r="T160" s="56"/>
      <c r="U160" s="63">
        <f t="shared" si="15"/>
        <v>0</v>
      </c>
      <c r="V160" s="56">
        <f t="shared" si="16"/>
        <v>0</v>
      </c>
      <c r="W160" s="64">
        <f t="shared" si="17"/>
        <v>0</v>
      </c>
      <c r="X160" s="58"/>
      <c r="Z160" s="279"/>
    </row>
    <row r="161" spans="1:26">
      <c r="A161" s="57"/>
      <c r="B161" s="59" t="s">
        <v>272</v>
      </c>
      <c r="D161" s="18" t="s">
        <v>93</v>
      </c>
      <c r="E161" s="54" t="s">
        <v>113</v>
      </c>
      <c r="F161" s="79"/>
      <c r="G161" s="56">
        <v>0</v>
      </c>
      <c r="H161" s="56">
        <v>0</v>
      </c>
      <c r="I161" s="56"/>
      <c r="J161" s="56">
        <v>4572661</v>
      </c>
      <c r="K161" s="56">
        <v>0</v>
      </c>
      <c r="L161" s="56">
        <v>0</v>
      </c>
      <c r="M161" s="61">
        <f t="shared" si="13"/>
        <v>4572661</v>
      </c>
      <c r="N161" s="56">
        <f>IF(ISNA(VLOOKUP($B161,'[2]Current Provision - HYP'!$A$10:$BQ$201,$E$5,FALSE))=TRUE,0,VLOOKUP($B161,'[2]Current Provision - HYP'!$A$10:$BQ$201,$E$5,FALSE))</f>
        <v>0</v>
      </c>
      <c r="O161" s="56">
        <v>0</v>
      </c>
      <c r="P161" s="58">
        <v>0</v>
      </c>
      <c r="Q161" s="58">
        <v>0</v>
      </c>
      <c r="R161" s="58"/>
      <c r="S161" s="61">
        <f t="shared" si="19"/>
        <v>4572661</v>
      </c>
      <c r="T161" s="56"/>
      <c r="U161" s="63">
        <f t="shared" si="15"/>
        <v>1778765.1289999997</v>
      </c>
      <c r="V161" s="56">
        <f t="shared" si="16"/>
        <v>0</v>
      </c>
      <c r="W161" s="64">
        <f t="shared" si="17"/>
        <v>1778765.1289999997</v>
      </c>
      <c r="X161" s="58"/>
      <c r="Z161" s="279"/>
    </row>
    <row r="162" spans="1:26">
      <c r="A162" s="57"/>
      <c r="B162" s="59" t="s">
        <v>273</v>
      </c>
      <c r="D162" s="18"/>
      <c r="E162" s="54" t="s">
        <v>95</v>
      </c>
      <c r="F162" s="79"/>
      <c r="G162" s="56">
        <v>0</v>
      </c>
      <c r="H162" s="56">
        <v>0</v>
      </c>
      <c r="I162" s="56"/>
      <c r="J162" s="56">
        <v>0</v>
      </c>
      <c r="K162" s="56">
        <v>0</v>
      </c>
      <c r="L162" s="56">
        <v>0</v>
      </c>
      <c r="M162" s="61">
        <f t="shared" si="13"/>
        <v>0</v>
      </c>
      <c r="N162" s="56">
        <f>IF(ISNA(VLOOKUP($B162,'[2]Current Provision - HYP'!$A$10:$BQ$201,$E$5,FALSE))=TRUE,0,VLOOKUP($B162,'[2]Current Provision - HYP'!$A$10:$BQ$201,$E$5,FALSE))</f>
        <v>0</v>
      </c>
      <c r="O162" s="56">
        <v>0</v>
      </c>
      <c r="P162" s="58">
        <v>0</v>
      </c>
      <c r="Q162" s="58">
        <v>0</v>
      </c>
      <c r="R162" s="58">
        <v>0</v>
      </c>
      <c r="S162" s="61">
        <f t="shared" si="19"/>
        <v>0</v>
      </c>
      <c r="T162" s="56"/>
      <c r="U162" s="63">
        <f t="shared" si="15"/>
        <v>0</v>
      </c>
      <c r="V162" s="56">
        <f t="shared" si="16"/>
        <v>0</v>
      </c>
      <c r="W162" s="64">
        <f t="shared" si="17"/>
        <v>0</v>
      </c>
      <c r="X162" s="58"/>
      <c r="Z162" s="279"/>
    </row>
    <row r="163" spans="1:26">
      <c r="A163" s="57"/>
      <c r="B163" s="59" t="s">
        <v>274</v>
      </c>
      <c r="D163" s="18"/>
      <c r="E163" s="54" t="s">
        <v>275</v>
      </c>
      <c r="F163" s="79"/>
      <c r="G163" s="56">
        <v>0</v>
      </c>
      <c r="H163" s="56">
        <v>0</v>
      </c>
      <c r="I163" s="56"/>
      <c r="J163" s="56">
        <v>0</v>
      </c>
      <c r="K163" s="56">
        <v>0</v>
      </c>
      <c r="L163" s="56">
        <v>0</v>
      </c>
      <c r="M163" s="61">
        <f t="shared" ref="M163:M174" si="20">SUM(G163:L163)</f>
        <v>0</v>
      </c>
      <c r="N163" s="56">
        <f>IF(ISNA(VLOOKUP($B163,'[2]Current Provision - HYP'!$A$10:$BQ$201,$E$5,FALSE))=TRUE,0,VLOOKUP($B163,'[2]Current Provision - HYP'!$A$10:$BQ$201,$E$5,FALSE))</f>
        <v>0</v>
      </c>
      <c r="O163" s="56">
        <v>0</v>
      </c>
      <c r="P163" s="58">
        <v>0</v>
      </c>
      <c r="Q163" s="58">
        <v>0</v>
      </c>
      <c r="R163" s="58">
        <v>0</v>
      </c>
      <c r="S163" s="61">
        <f t="shared" si="19"/>
        <v>0</v>
      </c>
      <c r="T163" s="56"/>
      <c r="U163" s="63">
        <f t="shared" ref="U163:U174" si="21">IF(S163&gt;0,S163*$G$308,0)</f>
        <v>0</v>
      </c>
      <c r="V163" s="56">
        <f t="shared" ref="V163:V174" si="22">IF(S163&lt;0,-S163*$G$308,0)</f>
        <v>0</v>
      </c>
      <c r="W163" s="64">
        <f t="shared" ref="W163:W174" si="23">U163-V163</f>
        <v>0</v>
      </c>
      <c r="X163" s="58"/>
      <c r="Z163" s="279"/>
    </row>
    <row r="164" spans="1:26">
      <c r="A164" s="57" t="s">
        <v>276</v>
      </c>
      <c r="B164" s="59" t="s">
        <v>277</v>
      </c>
      <c r="D164" s="18" t="s">
        <v>93</v>
      </c>
      <c r="E164" s="54" t="s">
        <v>113</v>
      </c>
      <c r="F164" s="79"/>
      <c r="G164" s="56">
        <f>-14806775.3774614-4026722</f>
        <v>-18833497.3774614</v>
      </c>
      <c r="H164" s="56">
        <v>-215021.2575000003</v>
      </c>
      <c r="I164" s="56"/>
      <c r="J164" s="56">
        <v>0</v>
      </c>
      <c r="K164" s="56">
        <v>0</v>
      </c>
      <c r="L164" s="56">
        <v>0</v>
      </c>
      <c r="M164" s="61">
        <f t="shared" si="20"/>
        <v>-19048518.6349614</v>
      </c>
      <c r="N164" s="56">
        <f>IF(ISNA(VLOOKUP($B164,'[2]Current Provision - HYP'!$A$10:$BQ$201,$E$5,FALSE))=TRUE,0,VLOOKUP($B164,'[2]Current Provision - HYP'!$A$10:$BQ$201,$E$5,FALSE))</f>
        <v>-2404871.6355000013</v>
      </c>
      <c r="O164" s="56">
        <v>0</v>
      </c>
      <c r="P164" s="58">
        <v>0</v>
      </c>
      <c r="Q164" s="58">
        <v>0</v>
      </c>
      <c r="R164" s="58"/>
      <c r="S164" s="61">
        <f t="shared" si="19"/>
        <v>-21453390.270461403</v>
      </c>
      <c r="T164" s="56"/>
      <c r="U164" s="63">
        <f t="shared" si="21"/>
        <v>0</v>
      </c>
      <c r="V164" s="56">
        <f t="shared" si="22"/>
        <v>8345368.8152094847</v>
      </c>
      <c r="W164" s="64">
        <f t="shared" si="23"/>
        <v>-8345368.8152094847</v>
      </c>
      <c r="X164" s="58"/>
      <c r="Z164" s="279"/>
    </row>
    <row r="165" spans="1:26">
      <c r="A165" s="57" t="s">
        <v>278</v>
      </c>
      <c r="B165" s="59" t="s">
        <v>279</v>
      </c>
      <c r="D165" s="18"/>
      <c r="E165" s="54" t="s">
        <v>72</v>
      </c>
      <c r="F165" s="79"/>
      <c r="G165" s="56">
        <v>0</v>
      </c>
      <c r="H165" s="56">
        <v>0</v>
      </c>
      <c r="I165" s="56"/>
      <c r="J165" s="56">
        <v>0</v>
      </c>
      <c r="K165" s="56">
        <v>0</v>
      </c>
      <c r="L165" s="56">
        <v>0</v>
      </c>
      <c r="M165" s="61">
        <f t="shared" si="20"/>
        <v>0</v>
      </c>
      <c r="N165" s="56">
        <f>IF(ISNA(VLOOKUP($B165,'[2]Current Provision - HYP'!$A$10:$BQ$201,$E$5,FALSE))=TRUE,0,VLOOKUP($B165,'[2]Current Provision - HYP'!$A$10:$BQ$201,$E$5,FALSE))</f>
        <v>0</v>
      </c>
      <c r="O165" s="56">
        <v>0</v>
      </c>
      <c r="P165" s="58">
        <v>0</v>
      </c>
      <c r="Q165" s="58">
        <v>0</v>
      </c>
      <c r="R165" s="58">
        <v>0</v>
      </c>
      <c r="S165" s="61">
        <f t="shared" si="19"/>
        <v>0</v>
      </c>
      <c r="T165" s="56"/>
      <c r="U165" s="63">
        <f t="shared" si="21"/>
        <v>0</v>
      </c>
      <c r="V165" s="56">
        <f t="shared" si="22"/>
        <v>0</v>
      </c>
      <c r="W165" s="64">
        <f t="shared" si="23"/>
        <v>0</v>
      </c>
      <c r="X165" s="58"/>
      <c r="Z165" s="279"/>
    </row>
    <row r="166" spans="1:26">
      <c r="A166" s="57" t="s">
        <v>280</v>
      </c>
      <c r="B166" s="303" t="s">
        <v>281</v>
      </c>
      <c r="D166" s="18"/>
      <c r="E166" s="54" t="s">
        <v>282</v>
      </c>
      <c r="F166" s="79"/>
      <c r="G166" s="56">
        <v>25959</v>
      </c>
      <c r="H166" s="56">
        <v>0</v>
      </c>
      <c r="I166" s="56"/>
      <c r="J166" s="56">
        <v>0</v>
      </c>
      <c r="K166" s="56">
        <v>0</v>
      </c>
      <c r="L166" s="56">
        <v>0</v>
      </c>
      <c r="M166" s="61">
        <f t="shared" si="20"/>
        <v>25959</v>
      </c>
      <c r="N166" s="56">
        <f>IF(ISNA(VLOOKUP($B166,'[2]Current Provision - HYP'!$A$10:$BQ$201,$E$5,FALSE))=TRUE,0,VLOOKUP($B166,'[2]Current Provision - HYP'!$A$10:$BQ$201,$E$5,FALSE))</f>
        <v>10436</v>
      </c>
      <c r="O166" s="56">
        <v>0</v>
      </c>
      <c r="P166" s="58">
        <v>0</v>
      </c>
      <c r="Q166" s="58">
        <v>0</v>
      </c>
      <c r="R166" s="58">
        <v>0</v>
      </c>
      <c r="S166" s="61">
        <f t="shared" si="19"/>
        <v>36395</v>
      </c>
      <c r="T166" s="56"/>
      <c r="U166" s="63">
        <f t="shared" si="21"/>
        <v>14157.654999999999</v>
      </c>
      <c r="V166" s="56">
        <f t="shared" si="22"/>
        <v>0</v>
      </c>
      <c r="W166" s="64">
        <f t="shared" si="23"/>
        <v>14157.654999999999</v>
      </c>
      <c r="X166" s="58"/>
      <c r="Z166" s="279"/>
    </row>
    <row r="167" spans="1:26">
      <c r="A167" s="57" t="s">
        <v>283</v>
      </c>
      <c r="B167" s="303" t="s">
        <v>284</v>
      </c>
      <c r="D167" s="18"/>
      <c r="E167" s="54" t="s">
        <v>282</v>
      </c>
      <c r="F167" s="79"/>
      <c r="G167" s="56">
        <v>0</v>
      </c>
      <c r="H167" s="56">
        <v>0</v>
      </c>
      <c r="I167" s="56"/>
      <c r="J167" s="56">
        <v>0</v>
      </c>
      <c r="K167" s="56">
        <v>0</v>
      </c>
      <c r="L167" s="56">
        <v>0</v>
      </c>
      <c r="M167" s="61">
        <f t="shared" si="20"/>
        <v>0</v>
      </c>
      <c r="N167" s="56">
        <f>IF(ISNA(VLOOKUP($B167,'[2]Current Provision - HYP'!$A$10:$BQ$201,$E$5,FALSE))=TRUE,0,VLOOKUP($B167,'[2]Current Provision - HYP'!$A$10:$BQ$201,$E$5,FALSE))</f>
        <v>0</v>
      </c>
      <c r="O167" s="56">
        <v>0</v>
      </c>
      <c r="P167" s="58">
        <v>0</v>
      </c>
      <c r="Q167" s="58">
        <v>0</v>
      </c>
      <c r="R167" s="58">
        <v>0</v>
      </c>
      <c r="S167" s="61">
        <f t="shared" si="19"/>
        <v>0</v>
      </c>
      <c r="T167" s="56"/>
      <c r="U167" s="63">
        <f t="shared" si="21"/>
        <v>0</v>
      </c>
      <c r="V167" s="56">
        <f t="shared" si="22"/>
        <v>0</v>
      </c>
      <c r="W167" s="64">
        <f t="shared" si="23"/>
        <v>0</v>
      </c>
      <c r="X167" s="58"/>
      <c r="Z167" s="279"/>
    </row>
    <row r="168" spans="1:26">
      <c r="A168" s="57" t="s">
        <v>285</v>
      </c>
      <c r="B168" s="261" t="s">
        <v>286</v>
      </c>
      <c r="D168" s="18"/>
      <c r="E168" s="54" t="s">
        <v>282</v>
      </c>
      <c r="F168" s="79"/>
      <c r="G168" s="56">
        <v>14957</v>
      </c>
      <c r="H168" s="56">
        <v>0</v>
      </c>
      <c r="I168" s="56"/>
      <c r="J168" s="56">
        <v>0</v>
      </c>
      <c r="K168" s="56">
        <v>0</v>
      </c>
      <c r="L168" s="56">
        <v>0</v>
      </c>
      <c r="M168" s="61">
        <f t="shared" si="20"/>
        <v>14957</v>
      </c>
      <c r="N168" s="56">
        <f>IF(ISNA(VLOOKUP($B168,'[2]Current Provision - HYP'!$A$10:$BQ$201,$E$5,FALSE))=TRUE,0,VLOOKUP($B168,'[2]Current Provision - HYP'!$A$10:$BQ$201,$E$5,FALSE))</f>
        <v>15303</v>
      </c>
      <c r="O168" s="56">
        <v>0</v>
      </c>
      <c r="P168" s="58">
        <v>0</v>
      </c>
      <c r="Q168" s="58">
        <v>0</v>
      </c>
      <c r="R168" s="58">
        <v>0</v>
      </c>
      <c r="S168" s="61">
        <f t="shared" si="19"/>
        <v>30260</v>
      </c>
      <c r="T168" s="56"/>
      <c r="U168" s="63">
        <f t="shared" si="21"/>
        <v>11771.14</v>
      </c>
      <c r="V168" s="56">
        <f t="shared" si="22"/>
        <v>0</v>
      </c>
      <c r="W168" s="64">
        <f t="shared" si="23"/>
        <v>11771.14</v>
      </c>
      <c r="X168" s="58"/>
      <c r="Z168" s="279"/>
    </row>
    <row r="169" spans="1:26">
      <c r="A169" s="57" t="s">
        <v>287</v>
      </c>
      <c r="B169" s="261" t="s">
        <v>288</v>
      </c>
      <c r="D169" s="18"/>
      <c r="E169" s="54" t="s">
        <v>282</v>
      </c>
      <c r="F169" s="79"/>
      <c r="G169" s="56">
        <v>6448</v>
      </c>
      <c r="H169" s="56">
        <v>-5941</v>
      </c>
      <c r="I169" s="56"/>
      <c r="J169" s="56">
        <v>0</v>
      </c>
      <c r="K169" s="56">
        <v>0</v>
      </c>
      <c r="L169" s="56">
        <v>0</v>
      </c>
      <c r="M169" s="61">
        <f t="shared" si="20"/>
        <v>507</v>
      </c>
      <c r="N169" s="56">
        <f>IF(ISNA(VLOOKUP($B169,'[2]Current Provision - HYP'!$A$10:$BQ$201,$E$5,FALSE))=TRUE,0,VLOOKUP($B169,'[2]Current Provision - HYP'!$A$10:$BQ$201,$E$5,FALSE))</f>
        <v>3744</v>
      </c>
      <c r="O169" s="56">
        <v>0</v>
      </c>
      <c r="P169" s="58">
        <v>0</v>
      </c>
      <c r="Q169" s="58">
        <v>0</v>
      </c>
      <c r="R169" s="58">
        <v>0</v>
      </c>
      <c r="S169" s="61">
        <f t="shared" si="19"/>
        <v>4251</v>
      </c>
      <c r="T169" s="56"/>
      <c r="U169" s="63">
        <f t="shared" si="21"/>
        <v>1653.6389999999999</v>
      </c>
      <c r="V169" s="56">
        <f t="shared" si="22"/>
        <v>0</v>
      </c>
      <c r="W169" s="64">
        <f t="shared" si="23"/>
        <v>1653.6389999999999</v>
      </c>
      <c r="X169" s="58"/>
      <c r="Z169" s="279"/>
    </row>
    <row r="170" spans="1:26">
      <c r="A170" s="57" t="s">
        <v>289</v>
      </c>
      <c r="B170" s="59" t="s">
        <v>290</v>
      </c>
      <c r="D170" s="18"/>
      <c r="E170" s="54" t="s">
        <v>291</v>
      </c>
      <c r="F170" s="79"/>
      <c r="G170" s="56">
        <v>0</v>
      </c>
      <c r="H170" s="56">
        <v>0</v>
      </c>
      <c r="I170" s="56"/>
      <c r="J170" s="56">
        <v>0</v>
      </c>
      <c r="K170" s="56">
        <v>0</v>
      </c>
      <c r="L170" s="56">
        <v>0</v>
      </c>
      <c r="M170" s="61">
        <f t="shared" si="20"/>
        <v>0</v>
      </c>
      <c r="N170" s="56">
        <f>IF(ISNA(VLOOKUP($B170,'[2]Current Provision - HYP'!$A$10:$BQ$201,$E$5,FALSE))=TRUE,0,VLOOKUP($B170,'[2]Current Provision - HYP'!$A$10:$BQ$201,$E$5,FALSE))</f>
        <v>0</v>
      </c>
      <c r="O170" s="56">
        <v>0</v>
      </c>
      <c r="P170" s="58">
        <v>0</v>
      </c>
      <c r="Q170" s="58">
        <v>0</v>
      </c>
      <c r="R170" s="58">
        <v>0</v>
      </c>
      <c r="S170" s="61">
        <f t="shared" si="19"/>
        <v>0</v>
      </c>
      <c r="T170" s="56"/>
      <c r="U170" s="63">
        <f t="shared" si="21"/>
        <v>0</v>
      </c>
      <c r="V170" s="56">
        <f t="shared" si="22"/>
        <v>0</v>
      </c>
      <c r="W170" s="64">
        <f t="shared" si="23"/>
        <v>0</v>
      </c>
      <c r="X170" s="58"/>
      <c r="Z170" s="279"/>
    </row>
    <row r="171" spans="1:26">
      <c r="A171" s="57"/>
      <c r="B171" s="59" t="s">
        <v>98</v>
      </c>
      <c r="D171" s="18"/>
      <c r="F171" s="84"/>
      <c r="G171" s="56">
        <v>0</v>
      </c>
      <c r="H171" s="56">
        <v>0</v>
      </c>
      <c r="I171" s="56"/>
      <c r="J171" s="56">
        <v>0</v>
      </c>
      <c r="K171" s="56">
        <v>0</v>
      </c>
      <c r="L171" s="56">
        <v>0</v>
      </c>
      <c r="M171" s="61">
        <f t="shared" si="20"/>
        <v>0</v>
      </c>
      <c r="N171" s="56">
        <f>IF(ISNA(VLOOKUP($B171,'[2]Current Provision - HYP'!$A$10:$BQ$201,$E$5,FALSE))=TRUE,0,VLOOKUP($B171,'[2]Current Provision - HYP'!$A$10:$BQ$201,$E$5,FALSE))</f>
        <v>0</v>
      </c>
      <c r="O171" s="56">
        <v>0</v>
      </c>
      <c r="P171" s="58">
        <v>0</v>
      </c>
      <c r="Q171" s="58">
        <v>0</v>
      </c>
      <c r="R171" s="58">
        <f>-49000/H306*0</f>
        <v>0</v>
      </c>
      <c r="S171" s="61">
        <f t="shared" si="19"/>
        <v>0</v>
      </c>
      <c r="T171" s="56"/>
      <c r="U171" s="63">
        <f t="shared" si="21"/>
        <v>0</v>
      </c>
      <c r="V171" s="56">
        <f t="shared" si="22"/>
        <v>0</v>
      </c>
      <c r="W171" s="64">
        <f t="shared" si="23"/>
        <v>0</v>
      </c>
      <c r="X171" s="58"/>
      <c r="Z171" s="279"/>
    </row>
    <row r="172" spans="1:26">
      <c r="A172" s="57"/>
      <c r="B172" s="59" t="s">
        <v>98</v>
      </c>
      <c r="D172" s="18"/>
      <c r="F172" s="84"/>
      <c r="G172" s="56">
        <v>0</v>
      </c>
      <c r="H172" s="56">
        <v>0</v>
      </c>
      <c r="I172" s="56"/>
      <c r="J172" s="56">
        <v>0</v>
      </c>
      <c r="K172" s="56">
        <v>0</v>
      </c>
      <c r="L172" s="56">
        <v>0</v>
      </c>
      <c r="M172" s="61">
        <f t="shared" si="20"/>
        <v>0</v>
      </c>
      <c r="N172" s="56">
        <f>IF(ISNA(VLOOKUP($B172,'[2]Current Provision - HYP'!$A$10:$BQ$201,$E$5,FALSE))=TRUE,0,VLOOKUP($B172,'[2]Current Provision - HYP'!$A$10:$BQ$201,$E$5,FALSE))</f>
        <v>0</v>
      </c>
      <c r="O172" s="56">
        <v>0</v>
      </c>
      <c r="P172" s="58">
        <v>0</v>
      </c>
      <c r="Q172" s="58">
        <v>0</v>
      </c>
      <c r="R172" s="58">
        <v>0</v>
      </c>
      <c r="S172" s="61">
        <f t="shared" si="19"/>
        <v>0</v>
      </c>
      <c r="T172" s="56"/>
      <c r="U172" s="63">
        <f t="shared" si="21"/>
        <v>0</v>
      </c>
      <c r="V172" s="56">
        <f t="shared" si="22"/>
        <v>0</v>
      </c>
      <c r="W172" s="64">
        <f t="shared" si="23"/>
        <v>0</v>
      </c>
      <c r="X172" s="58"/>
      <c r="Z172" s="279"/>
    </row>
    <row r="173" spans="1:26">
      <c r="A173" s="57"/>
      <c r="B173" s="59" t="s">
        <v>98</v>
      </c>
      <c r="D173" s="18"/>
      <c r="F173" s="84"/>
      <c r="G173" s="56">
        <v>0</v>
      </c>
      <c r="H173" s="62">
        <v>0</v>
      </c>
      <c r="I173" s="56"/>
      <c r="J173" s="62">
        <v>0</v>
      </c>
      <c r="K173" s="56">
        <v>0</v>
      </c>
      <c r="L173" s="56">
        <v>0</v>
      </c>
      <c r="M173" s="61">
        <f t="shared" si="20"/>
        <v>0</v>
      </c>
      <c r="N173" s="56">
        <f>IF(ISNA(VLOOKUP($B173,'[2]Current Provision - HYP'!$A$10:$BQ$201,$E$5,FALSE))=TRUE,0,VLOOKUP($B173,'[2]Current Provision - HYP'!$A$10:$BQ$201,$E$5,FALSE))</f>
        <v>0</v>
      </c>
      <c r="O173" s="56">
        <v>0</v>
      </c>
      <c r="P173" s="58">
        <v>0</v>
      </c>
      <c r="Q173" s="58">
        <v>0</v>
      </c>
      <c r="R173" s="58">
        <v>0</v>
      </c>
      <c r="S173" s="61">
        <f t="shared" si="19"/>
        <v>0</v>
      </c>
      <c r="T173" s="56"/>
      <c r="U173" s="63">
        <f t="shared" si="21"/>
        <v>0</v>
      </c>
      <c r="V173" s="56">
        <f t="shared" si="22"/>
        <v>0</v>
      </c>
      <c r="W173" s="64">
        <f t="shared" si="23"/>
        <v>0</v>
      </c>
      <c r="X173" s="58"/>
      <c r="Z173" s="279"/>
    </row>
    <row r="174" spans="1:26">
      <c r="A174" s="57"/>
      <c r="B174" s="59" t="s">
        <v>98</v>
      </c>
      <c r="D174" s="18"/>
      <c r="F174" s="84"/>
      <c r="G174" s="56">
        <v>0</v>
      </c>
      <c r="H174" s="62">
        <v>0</v>
      </c>
      <c r="I174" s="56"/>
      <c r="J174" s="62">
        <v>0</v>
      </c>
      <c r="K174" s="56">
        <v>0</v>
      </c>
      <c r="L174" s="56">
        <v>0</v>
      </c>
      <c r="M174" s="61">
        <f t="shared" si="20"/>
        <v>0</v>
      </c>
      <c r="N174" s="56">
        <f>IF(ISNA(VLOOKUP($B174,'[2]Current Provision - HYP'!$A$10:$BQ$201,$E$5,FALSE))=TRUE,0,VLOOKUP($B174,'[2]Current Provision - HYP'!$A$10:$BQ$201,$E$5,FALSE))</f>
        <v>0</v>
      </c>
      <c r="O174" s="56">
        <v>0</v>
      </c>
      <c r="P174" s="58">
        <v>0</v>
      </c>
      <c r="Q174" s="58">
        <v>0</v>
      </c>
      <c r="R174" s="58">
        <v>0</v>
      </c>
      <c r="S174" s="61">
        <f t="shared" si="19"/>
        <v>0</v>
      </c>
      <c r="T174" s="56"/>
      <c r="U174" s="63">
        <f t="shared" si="21"/>
        <v>0</v>
      </c>
      <c r="V174" s="56">
        <f t="shared" si="22"/>
        <v>0</v>
      </c>
      <c r="W174" s="64">
        <f t="shared" si="23"/>
        <v>0</v>
      </c>
      <c r="X174" s="58"/>
      <c r="Z174" s="279"/>
    </row>
    <row r="175" spans="1:26">
      <c r="A175" s="68" t="s">
        <v>292</v>
      </c>
      <c r="B175" s="68"/>
      <c r="C175" s="69"/>
      <c r="D175" s="69"/>
      <c r="E175" s="69"/>
      <c r="F175" s="70" t="s">
        <v>293</v>
      </c>
      <c r="G175" s="71">
        <f t="shared" ref="G175:S175" si="24">SUM(G35:G174)</f>
        <v>-127630177.58073822</v>
      </c>
      <c r="H175" s="71">
        <f t="shared" si="24"/>
        <v>4377489.8237276841</v>
      </c>
      <c r="I175" s="71">
        <f t="shared" si="24"/>
        <v>0</v>
      </c>
      <c r="J175" s="71">
        <f t="shared" si="24"/>
        <v>2582593</v>
      </c>
      <c r="K175" s="71">
        <f t="shared" si="24"/>
        <v>0</v>
      </c>
      <c r="L175" s="71">
        <f t="shared" si="24"/>
        <v>0</v>
      </c>
      <c r="M175" s="71">
        <f t="shared" si="24"/>
        <v>-120670094.75701052</v>
      </c>
      <c r="N175" s="71">
        <f t="shared" si="24"/>
        <v>-125404630.12102693</v>
      </c>
      <c r="O175" s="71">
        <f t="shared" si="24"/>
        <v>0</v>
      </c>
      <c r="P175" s="71">
        <f t="shared" si="24"/>
        <v>0</v>
      </c>
      <c r="Q175" s="71">
        <f t="shared" si="24"/>
        <v>0</v>
      </c>
      <c r="R175" s="71">
        <f t="shared" si="24"/>
        <v>0</v>
      </c>
      <c r="S175" s="71">
        <f t="shared" si="24"/>
        <v>-246074724.87803751</v>
      </c>
      <c r="T175" s="71"/>
      <c r="U175" s="71">
        <f>SUM(U35:U174)</f>
        <v>38832251.230066285</v>
      </c>
      <c r="V175" s="71">
        <f>SUM(V35:V174)</f>
        <v>134555319.20762283</v>
      </c>
      <c r="W175" s="71">
        <f>SUM(W35:W174)</f>
        <v>-95723067.977556542</v>
      </c>
      <c r="X175" s="58"/>
      <c r="Z175" s="279">
        <f t="shared" si="18"/>
        <v>0</v>
      </c>
    </row>
    <row r="176" spans="1:26">
      <c r="A176" s="59"/>
      <c r="B176" s="59"/>
      <c r="C176" s="65"/>
      <c r="D176" s="65"/>
      <c r="E176" s="65"/>
      <c r="F176" s="66"/>
      <c r="G176" s="56"/>
      <c r="H176" s="56"/>
      <c r="I176" s="56"/>
      <c r="J176" s="56"/>
      <c r="K176" s="56"/>
      <c r="L176" s="56"/>
      <c r="M176" s="73" t="str">
        <f>IF(SUM(G175:L175)=M175,"CF","ERROR CF")</f>
        <v>CF</v>
      </c>
      <c r="N176" s="56"/>
      <c r="O176" s="56"/>
      <c r="P176" s="56"/>
      <c r="Q176" s="56"/>
      <c r="R176" s="56"/>
      <c r="S176" s="73"/>
      <c r="T176" s="56"/>
      <c r="U176" s="56"/>
      <c r="V176" s="56"/>
      <c r="W176" s="64"/>
      <c r="X176" s="58"/>
      <c r="Z176" s="279"/>
    </row>
    <row r="177" spans="1:26">
      <c r="A177" s="323" t="s">
        <v>294</v>
      </c>
      <c r="B177" s="323"/>
      <c r="C177" s="323"/>
      <c r="D177" s="323"/>
      <c r="E177" s="323"/>
      <c r="F177" s="85" t="s">
        <v>295</v>
      </c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64"/>
      <c r="X177" s="58"/>
      <c r="Z177" s="279"/>
    </row>
    <row r="178" spans="1:26" ht="12.75">
      <c r="A178" s="86" t="s">
        <v>296</v>
      </c>
      <c r="B178" s="75" t="str">
        <f>IF(ISNA(VLOOKUP($A178,'[2]Coding (Do not delete)'!$A$7:$K$656,3,FALSE))=TRUE,0,VLOOKUP($A178,'[2]Coding (Do not delete)'!$A$7:$K$656,8,FALSE))</f>
        <v>JE#  0001  Def Hist - AFUDC - Equity CWIP (AFUDC 2) - a/c 185035</v>
      </c>
      <c r="C178" s="65">
        <f>IF(ISNA(VLOOKUP($A178,'[2]Coding (Do not delete)'!$A$7:$K$656,5,FALSE))=TRUE,0,VLOOKUP($A178,'[2]Coding (Do not delete)'!$A$7:$K$656,5,FALSE))</f>
        <v>185035</v>
      </c>
      <c r="D178" s="65" t="s">
        <v>297</v>
      </c>
      <c r="E178" s="54" t="s">
        <v>257</v>
      </c>
      <c r="F178" s="87">
        <v>0</v>
      </c>
      <c r="G178" s="61">
        <v>0</v>
      </c>
      <c r="H178" s="56">
        <v>0</v>
      </c>
      <c r="I178" s="56"/>
      <c r="J178" s="56">
        <v>0</v>
      </c>
      <c r="K178" s="56">
        <v>0</v>
      </c>
      <c r="L178" s="56">
        <v>0</v>
      </c>
      <c r="M178" s="61">
        <f t="shared" ref="M178:M194" si="25">SUM(G178:L178)</f>
        <v>0</v>
      </c>
      <c r="N178" s="56">
        <f>IF(ISNA(VLOOKUP($B178,'[2]Current Provision - HYP'!$A$10:$BQ$201,$E$5,FALSE))=TRUE,0,VLOOKUP($B178,'[2]Current Provision - HYP'!$A$10:$BQ$201,$E$5,FALSE))</f>
        <v>0</v>
      </c>
      <c r="O178" s="56">
        <v>0</v>
      </c>
      <c r="P178" s="58">
        <v>0</v>
      </c>
      <c r="Q178" s="58">
        <v>0</v>
      </c>
      <c r="R178" s="58">
        <v>0</v>
      </c>
      <c r="S178" s="61">
        <f t="shared" ref="S178:S194" si="26">SUM(M178:R178)</f>
        <v>0</v>
      </c>
      <c r="T178" s="56"/>
      <c r="U178" s="63">
        <f t="shared" ref="U178:U194" si="27">IF(S178&gt;0,S178*$G$308,0)</f>
        <v>0</v>
      </c>
      <c r="V178" s="56">
        <f t="shared" ref="V178:V194" si="28">IF(S178&lt;0,-S178*$G$308,0)</f>
        <v>0</v>
      </c>
      <c r="W178" s="64">
        <f t="shared" ref="W178:W194" si="29">U178-V178</f>
        <v>0</v>
      </c>
      <c r="X178" s="58"/>
      <c r="Z178" s="279">
        <f t="shared" ref="Z178:Z195" si="30">SUM(M178:R178)-S178</f>
        <v>0</v>
      </c>
    </row>
    <row r="179" spans="1:26" ht="12.75">
      <c r="A179" s="86" t="s">
        <v>298</v>
      </c>
      <c r="B179" s="75" t="str">
        <f>IF(ISNA(VLOOKUP($A179,'[2]Coding (Do not delete)'!$A$7:$K$656,3,FALSE))=TRUE,0,VLOOKUP($A179,'[2]Coding (Do not delete)'!$A$7:$K$656,8,FALSE))</f>
        <v>JE#  0002  Oth Def Adj - a/c 185040 - Reg Asset Pl Flow-Thru</v>
      </c>
      <c r="C179" s="65">
        <f>IF(ISNA(VLOOKUP($A179,'[2]Coding (Do not delete)'!$A$7:$K$656,5,FALSE))=TRUE,0,VLOOKUP($A179,'[2]Coding (Do not delete)'!$A$7:$K$656,5,FALSE))</f>
        <v>185040</v>
      </c>
      <c r="D179" s="65" t="s">
        <v>297</v>
      </c>
      <c r="E179" s="54" t="s">
        <v>257</v>
      </c>
      <c r="F179" s="87">
        <v>0.1542</v>
      </c>
      <c r="G179" s="61">
        <v>-3437410</v>
      </c>
      <c r="H179" s="56">
        <v>0</v>
      </c>
      <c r="I179" s="56"/>
      <c r="J179" s="56">
        <v>0</v>
      </c>
      <c r="K179" s="56">
        <v>0</v>
      </c>
      <c r="L179" s="56">
        <v>0</v>
      </c>
      <c r="M179" s="61">
        <f t="shared" si="25"/>
        <v>-3437410</v>
      </c>
      <c r="N179" s="56">
        <f>IF(ISNA(VLOOKUP($B179,'[2]Current Provision - HYP'!$A$10:$BQ$201,$E$5,FALSE))=TRUE,0,VLOOKUP($B179,'[2]Current Provision - HYP'!$A$10:$BQ$201,$E$5,FALSE))</f>
        <v>0</v>
      </c>
      <c r="O179" s="56">
        <f>(IF(ISNA(HLOOKUP($E$3,'[2]Journal Entries Calculation'!$F$7:$CC$76,73-6,FALSE))=TRUE,0,HLOOKUP($E$3,'[2]Journal Entries Calculation'!$F$7:$CC$76,73-6,FALSE)))+(IF(ISNA(HLOOKUP($E$3,'[2]Journal Entries Calculation'!$F$7:$CC$76,75-6,FALSE))=TRUE,0,HLOOKUP($E$3,'[2]Journal Entries Calculation'!$F$7:$CC$76,75-6,FALSE)))</f>
        <v>254790.81</v>
      </c>
      <c r="P179" s="58">
        <v>0</v>
      </c>
      <c r="Q179" s="58">
        <v>0</v>
      </c>
      <c r="R179" s="58">
        <v>0</v>
      </c>
      <c r="S179" s="61">
        <f t="shared" si="26"/>
        <v>-3182619.19</v>
      </c>
      <c r="T179" s="56"/>
      <c r="U179" s="63">
        <f t="shared" si="27"/>
        <v>0</v>
      </c>
      <c r="V179" s="56">
        <f t="shared" si="28"/>
        <v>1238038.8649099998</v>
      </c>
      <c r="W179" s="64">
        <f t="shared" si="29"/>
        <v>-1238038.8649099998</v>
      </c>
      <c r="X179" s="58"/>
      <c r="Z179" s="279">
        <f t="shared" si="30"/>
        <v>0</v>
      </c>
    </row>
    <row r="180" spans="1:26" ht="12.75">
      <c r="A180" s="86" t="s">
        <v>299</v>
      </c>
      <c r="B180" s="75" t="str">
        <f>IF(ISNA(VLOOKUP($A180,'[2]Coding (Do not delete)'!$A$7:$K$656,3,FALSE))=TRUE,0,VLOOKUP($A180,'[2]Coding (Do not delete)'!$A$7:$K$656,8,FALSE))</f>
        <v>JE#  0003  Oth Def Adj -  a/c 185045 - Reg Asset Other</v>
      </c>
      <c r="C180" s="65">
        <f>IF(ISNA(VLOOKUP($A180,'[2]Coding (Do not delete)'!$A$7:$K$656,5,FALSE))=TRUE,0,VLOOKUP($A180,'[2]Coding (Do not delete)'!$A$7:$K$656,5,FALSE))</f>
        <v>185045</v>
      </c>
      <c r="D180" s="65" t="s">
        <v>297</v>
      </c>
      <c r="E180" s="54" t="s">
        <v>257</v>
      </c>
      <c r="F180" s="87">
        <v>0.1542</v>
      </c>
      <c r="G180" s="61">
        <v>453137</v>
      </c>
      <c r="H180" s="56">
        <v>0</v>
      </c>
      <c r="I180" s="56"/>
      <c r="J180" s="56">
        <v>0</v>
      </c>
      <c r="K180" s="56">
        <v>0</v>
      </c>
      <c r="L180" s="56">
        <v>0</v>
      </c>
      <c r="M180" s="61">
        <f t="shared" si="25"/>
        <v>453137</v>
      </c>
      <c r="N180" s="56">
        <f>IF(ISNA(VLOOKUP($B180,'[2]Current Provision - HYP'!$A$10:$BQ$201,$E$5,FALSE))=TRUE,0,VLOOKUP($B180,'[2]Current Provision - HYP'!$A$10:$BQ$201,$E$5,FALSE))</f>
        <v>0</v>
      </c>
      <c r="O180" s="56">
        <v>0</v>
      </c>
      <c r="P180" s="58">
        <v>0</v>
      </c>
      <c r="Q180" s="58">
        <v>0</v>
      </c>
      <c r="R180" s="58">
        <v>0</v>
      </c>
      <c r="S180" s="61">
        <f t="shared" si="26"/>
        <v>453137</v>
      </c>
      <c r="T180" s="56"/>
      <c r="U180" s="63">
        <f t="shared" si="27"/>
        <v>176270.29299999998</v>
      </c>
      <c r="V180" s="56">
        <f t="shared" si="28"/>
        <v>0</v>
      </c>
      <c r="W180" s="64">
        <f t="shared" si="29"/>
        <v>176270.29299999998</v>
      </c>
      <c r="X180" s="58"/>
      <c r="Z180" s="279">
        <f t="shared" si="30"/>
        <v>0</v>
      </c>
    </row>
    <row r="181" spans="1:26" ht="12.75">
      <c r="A181" s="86" t="s">
        <v>300</v>
      </c>
      <c r="B181" s="75" t="str">
        <f>IF(ISNA(VLOOKUP($A181,'[2]Coding (Do not delete)'!$A$7:$K$656,3,FALSE))=TRUE,0,VLOOKUP($A181,'[2]Coding (Do not delete)'!$A$7:$K$656,8,FALSE))</f>
        <v>JE#  0004  Oth Def Adj  - a/c 185050 - Reg Asset St Flow-Thru</v>
      </c>
      <c r="C181" s="65">
        <f>IF(ISNA(VLOOKUP($A181,'[2]Coding (Do not delete)'!$A$7:$K$656,5,FALSE))=TRUE,0,VLOOKUP($A181,'[2]Coding (Do not delete)'!$A$7:$K$656,5,FALSE))</f>
        <v>185050</v>
      </c>
      <c r="D181" s="65" t="s">
        <v>297</v>
      </c>
      <c r="E181" s="54" t="s">
        <v>257</v>
      </c>
      <c r="F181" s="87">
        <v>0</v>
      </c>
      <c r="G181" s="61">
        <v>0</v>
      </c>
      <c r="H181" s="56">
        <v>0</v>
      </c>
      <c r="I181" s="56"/>
      <c r="J181" s="56">
        <v>0</v>
      </c>
      <c r="K181" s="56">
        <v>0</v>
      </c>
      <c r="L181" s="56">
        <v>0</v>
      </c>
      <c r="M181" s="61">
        <f t="shared" si="25"/>
        <v>0</v>
      </c>
      <c r="N181" s="56">
        <f>IF(ISNA(VLOOKUP($B181,'[2]Current Provision - HYP'!$A$10:$BQ$201,$E$5,FALSE))=TRUE,0,VLOOKUP($B181,'[2]Current Provision - HYP'!$A$10:$BQ$201,$E$5,FALSE))</f>
        <v>0</v>
      </c>
      <c r="O181" s="56">
        <v>0</v>
      </c>
      <c r="P181" s="58">
        <v>0</v>
      </c>
      <c r="Q181" s="58">
        <v>0</v>
      </c>
      <c r="R181" s="58">
        <v>0</v>
      </c>
      <c r="S181" s="61">
        <f t="shared" si="26"/>
        <v>0</v>
      </c>
      <c r="T181" s="56"/>
      <c r="U181" s="63">
        <f t="shared" si="27"/>
        <v>0</v>
      </c>
      <c r="V181" s="56">
        <f t="shared" si="28"/>
        <v>0</v>
      </c>
      <c r="W181" s="64">
        <f t="shared" si="29"/>
        <v>0</v>
      </c>
      <c r="X181" s="58"/>
      <c r="Z181" s="279">
        <f t="shared" si="30"/>
        <v>0</v>
      </c>
    </row>
    <row r="182" spans="1:26" ht="12.75">
      <c r="A182" s="86" t="s">
        <v>301</v>
      </c>
      <c r="B182" s="75" t="str">
        <f>IF(ISNA(VLOOKUP($A182,'[2]Coding (Do not delete)'!$A$7:$K$656,3,FALSE))=TRUE,0,VLOOKUP($A182,'[2]Coding (Do not delete)'!$A$7:$K$656,8,FALSE))</f>
        <v>JE#  0005  Oth Def Adj -  a/c 185051 - Reg Asset-St Tax Ch</v>
      </c>
      <c r="C182" s="65">
        <f>IF(ISNA(VLOOKUP($A182,'[2]Coding (Do not delete)'!$A$7:$K$656,5,FALSE))=TRUE,0,VLOOKUP($A182,'[2]Coding (Do not delete)'!$A$7:$K$656,5,FALSE))</f>
        <v>185051</v>
      </c>
      <c r="D182" s="65" t="s">
        <v>297</v>
      </c>
      <c r="E182" s="54" t="s">
        <v>257</v>
      </c>
      <c r="F182" s="87">
        <v>0</v>
      </c>
      <c r="G182" s="61">
        <v>0</v>
      </c>
      <c r="H182" s="56">
        <v>0</v>
      </c>
      <c r="I182" s="56"/>
      <c r="J182" s="56">
        <v>0</v>
      </c>
      <c r="K182" s="56">
        <v>0</v>
      </c>
      <c r="L182" s="56">
        <v>0</v>
      </c>
      <c r="M182" s="61">
        <f t="shared" si="25"/>
        <v>0</v>
      </c>
      <c r="N182" s="56">
        <f>IF(ISNA(VLOOKUP($B182,'[2]Current Provision - HYP'!$A$10:$BQ$201,$E$5,FALSE))=TRUE,0,VLOOKUP($B182,'[2]Current Provision - HYP'!$A$10:$BQ$201,$E$5,FALSE))</f>
        <v>0</v>
      </c>
      <c r="O182" s="56">
        <v>0</v>
      </c>
      <c r="P182" s="58">
        <v>0</v>
      </c>
      <c r="Q182" s="58">
        <v>0</v>
      </c>
      <c r="R182" s="58">
        <v>0</v>
      </c>
      <c r="S182" s="61">
        <f t="shared" si="26"/>
        <v>0</v>
      </c>
      <c r="T182" s="56"/>
      <c r="U182" s="63">
        <f t="shared" si="27"/>
        <v>0</v>
      </c>
      <c r="V182" s="56">
        <f t="shared" si="28"/>
        <v>0</v>
      </c>
      <c r="W182" s="64">
        <f t="shared" si="29"/>
        <v>0</v>
      </c>
      <c r="X182" s="58"/>
      <c r="Z182" s="279">
        <f t="shared" si="30"/>
        <v>0</v>
      </c>
    </row>
    <row r="183" spans="1:26" ht="12.75">
      <c r="A183" s="86" t="s">
        <v>302</v>
      </c>
      <c r="B183" s="75" t="str">
        <f>IF(ISNA(VLOOKUP($A183,'[2]Coding (Do not delete)'!$A$7:$K$656,3,FALSE))=TRUE,0,VLOOKUP($A183,'[2]Coding (Do not delete)'!$A$7:$K$656,8,FALSE))</f>
        <v>JE#  0008  Oth Def Adj - a/c 256210 - Reg Liab AFUDC</v>
      </c>
      <c r="C183" s="88">
        <f>IF(ISNA(VLOOKUP($A183,'[2]Coding (Do not delete)'!$A$7:$K$656,5,FALSE))=TRUE,0,VLOOKUP($A183,'[2]Coding (Do not delete)'!$A$7:$K$656,5,FALSE))</f>
        <v>256210</v>
      </c>
      <c r="D183" s="65" t="s">
        <v>297</v>
      </c>
      <c r="E183" s="54" t="s">
        <v>257</v>
      </c>
      <c r="F183" s="87">
        <v>0.06</v>
      </c>
      <c r="G183" s="61">
        <v>1284795</v>
      </c>
      <c r="H183" s="56">
        <v>0</v>
      </c>
      <c r="I183" s="56"/>
      <c r="J183" s="56">
        <v>0</v>
      </c>
      <c r="K183" s="56">
        <v>0</v>
      </c>
      <c r="L183" s="56">
        <v>0</v>
      </c>
      <c r="M183" s="61">
        <f t="shared" si="25"/>
        <v>1284795</v>
      </c>
      <c r="N183" s="56">
        <f>IF(ISNA(VLOOKUP($B183,'[2]Current Provision - HYP'!$A$10:$BQ$201,$E$5,FALSE))=TRUE,0,VLOOKUP($B183,'[2]Current Provision - HYP'!$A$10:$BQ$201,$E$5,FALSE))</f>
        <v>0</v>
      </c>
      <c r="O183" s="56">
        <v>0</v>
      </c>
      <c r="P183" s="58">
        <v>0</v>
      </c>
      <c r="Q183" s="58">
        <v>0</v>
      </c>
      <c r="R183" s="58">
        <v>0</v>
      </c>
      <c r="S183" s="61">
        <f t="shared" si="26"/>
        <v>1284795</v>
      </c>
      <c r="T183" s="56"/>
      <c r="U183" s="63">
        <f t="shared" si="27"/>
        <v>499785.25499999995</v>
      </c>
      <c r="V183" s="56">
        <f t="shared" si="28"/>
        <v>0</v>
      </c>
      <c r="W183" s="64">
        <f t="shared" si="29"/>
        <v>499785.25499999995</v>
      </c>
      <c r="X183" s="58"/>
      <c r="Z183" s="279">
        <f t="shared" si="30"/>
        <v>0</v>
      </c>
    </row>
    <row r="184" spans="1:26" ht="12.75">
      <c r="A184" s="86" t="s">
        <v>303</v>
      </c>
      <c r="B184" s="75" t="str">
        <f>IF(ISNA(VLOOKUP($A184,'[2]Coding (Do not delete)'!$A$7:$K$656,3,FALSE))=TRUE,0,VLOOKUP($A184,'[2]Coding (Do not delete)'!$A$7:$K$656,8,FALSE))</f>
        <v>JE#  0009  Oth Def Adj - a/c 256220 - Reg Liab Deficit Def FIT</v>
      </c>
      <c r="C184" s="65">
        <f>IF(ISNA(VLOOKUP($A184,'[2]Coding (Do not delete)'!$A$7:$K$656,5,FALSE))=TRUE,0,VLOOKUP($A184,'[2]Coding (Do not delete)'!$A$7:$K$656,5,FALSE))</f>
        <v>256220</v>
      </c>
      <c r="D184" s="65" t="s">
        <v>297</v>
      </c>
      <c r="E184" s="54" t="s">
        <v>257</v>
      </c>
      <c r="F184" s="87">
        <v>0.06</v>
      </c>
      <c r="G184" s="61">
        <v>-251289</v>
      </c>
      <c r="H184" s="56">
        <v>0</v>
      </c>
      <c r="I184" s="56"/>
      <c r="J184" s="56">
        <v>0</v>
      </c>
      <c r="K184" s="56">
        <v>0</v>
      </c>
      <c r="L184" s="56">
        <v>0</v>
      </c>
      <c r="M184" s="61">
        <f t="shared" si="25"/>
        <v>-251289</v>
      </c>
      <c r="N184" s="56">
        <f>IF(ISNA(VLOOKUP($B184,'[2]Current Provision - HYP'!$A$10:$BQ$201,$E$5,FALSE))=TRUE,0,VLOOKUP($B184,'[2]Current Provision - HYP'!$A$10:$BQ$201,$E$5,FALSE))</f>
        <v>0</v>
      </c>
      <c r="O184" s="56">
        <v>0</v>
      </c>
      <c r="P184" s="58">
        <v>0</v>
      </c>
      <c r="Q184" s="58">
        <v>0</v>
      </c>
      <c r="R184" s="58">
        <v>0</v>
      </c>
      <c r="S184" s="61">
        <f t="shared" si="26"/>
        <v>-251289</v>
      </c>
      <c r="T184" s="56"/>
      <c r="U184" s="63">
        <f t="shared" si="27"/>
        <v>0</v>
      </c>
      <c r="V184" s="56">
        <f t="shared" si="28"/>
        <v>97751.420999999988</v>
      </c>
      <c r="W184" s="64">
        <f t="shared" si="29"/>
        <v>-97751.420999999988</v>
      </c>
      <c r="X184" s="58"/>
      <c r="Z184" s="279">
        <f t="shared" si="30"/>
        <v>0</v>
      </c>
    </row>
    <row r="185" spans="1:26" ht="12.75">
      <c r="A185" s="89" t="s">
        <v>304</v>
      </c>
      <c r="B185" s="75" t="str">
        <f>IF(ISNA(VLOOKUP($A185,'[2]Coding (Do not delete)'!$A$7:$K$656,3,FALSE))=TRUE,0,VLOOKUP($A185,'[2]Coding (Do not delete)'!$A$7:$K$656,8,FALSE))</f>
        <v>JE#  0010  Oth Def Adj - a/c 256230 - Reg Liab Excess Def SIT</v>
      </c>
      <c r="C185" s="65">
        <f>IF(ISNA(VLOOKUP($A185,'[2]Coding (Do not delete)'!$A$7:$K$656,5,FALSE))=TRUE,0,VLOOKUP($A185,'[2]Coding (Do not delete)'!$A$7:$K$656,5,FALSE))</f>
        <v>256230</v>
      </c>
      <c r="D185" s="65" t="s">
        <v>297</v>
      </c>
      <c r="E185" s="54" t="s">
        <v>257</v>
      </c>
      <c r="F185" s="87">
        <v>1</v>
      </c>
      <c r="G185" s="61">
        <v>1569198.67</v>
      </c>
      <c r="H185" s="56">
        <v>0</v>
      </c>
      <c r="I185" s="56"/>
      <c r="J185" s="56">
        <v>0</v>
      </c>
      <c r="K185" s="56">
        <v>0</v>
      </c>
      <c r="L185" s="62">
        <v>0</v>
      </c>
      <c r="M185" s="61">
        <f t="shared" si="25"/>
        <v>1569198.67</v>
      </c>
      <c r="N185" s="56">
        <f>IF(ISNA(VLOOKUP($B185,'[2]Current Provision - HYP'!$A$10:$BQ$201,$E$5,FALSE))=TRUE,0,VLOOKUP($B185,'[2]Current Provision - HYP'!$A$10:$BQ$201,$E$5,FALSE))</f>
        <v>0</v>
      </c>
      <c r="O185" s="56">
        <v>0</v>
      </c>
      <c r="P185" s="58">
        <v>0</v>
      </c>
      <c r="Q185" s="58">
        <v>0</v>
      </c>
      <c r="R185" s="283">
        <v>0</v>
      </c>
      <c r="S185" s="61">
        <f t="shared" si="26"/>
        <v>1569198.67</v>
      </c>
      <c r="T185" s="56"/>
      <c r="U185" s="63">
        <f t="shared" si="27"/>
        <v>610418.28262999991</v>
      </c>
      <c r="V185" s="56">
        <f t="shared" si="28"/>
        <v>0</v>
      </c>
      <c r="W185" s="64">
        <f t="shared" si="29"/>
        <v>610418.28262999991</v>
      </c>
      <c r="X185" s="58"/>
      <c r="Z185" s="279">
        <f t="shared" si="30"/>
        <v>0</v>
      </c>
    </row>
    <row r="186" spans="1:26" ht="12.75">
      <c r="A186" s="89" t="s">
        <v>305</v>
      </c>
      <c r="B186" s="75" t="str">
        <f>IF(ISNA(VLOOKUP($A186,'[2]Coding (Do not delete)'!$A$7:$K$656,3,FALSE))=TRUE,0,VLOOKUP($A186,'[2]Coding (Do not delete)'!$A$7:$K$656,8,FALSE))</f>
        <v>JE#  0011  Oth Def Adj - a/c 256240 - Reg Liability-Other</v>
      </c>
      <c r="C186" s="65">
        <f>IF(ISNA(VLOOKUP($A186,'[2]Coding (Do not delete)'!$A$7:$K$656,5,FALSE))=TRUE,0,VLOOKUP($A186,'[2]Coding (Do not delete)'!$A$7:$K$656,5,FALSE))</f>
        <v>256240</v>
      </c>
      <c r="D186" s="65" t="s">
        <v>297</v>
      </c>
      <c r="E186" s="54" t="s">
        <v>257</v>
      </c>
      <c r="F186" s="87">
        <v>0</v>
      </c>
      <c r="G186" s="61">
        <v>0</v>
      </c>
      <c r="H186" s="56">
        <v>0</v>
      </c>
      <c r="I186" s="56"/>
      <c r="J186" s="56">
        <v>0</v>
      </c>
      <c r="K186" s="56">
        <v>0</v>
      </c>
      <c r="L186" s="56">
        <v>0</v>
      </c>
      <c r="M186" s="61">
        <f t="shared" si="25"/>
        <v>0</v>
      </c>
      <c r="N186" s="56">
        <f>IF(ISNA(VLOOKUP($B186,'[2]Current Provision - HYP'!$A$10:$BQ$201,$E$5,FALSE))=TRUE,0,VLOOKUP($B186,'[2]Current Provision - HYP'!$A$10:$BQ$201,$E$5,FALSE))</f>
        <v>0</v>
      </c>
      <c r="O186" s="56">
        <v>0</v>
      </c>
      <c r="P186" s="58">
        <v>0</v>
      </c>
      <c r="Q186" s="58">
        <v>0</v>
      </c>
      <c r="R186" s="58">
        <v>0</v>
      </c>
      <c r="S186" s="61">
        <f t="shared" si="26"/>
        <v>0</v>
      </c>
      <c r="T186" s="56"/>
      <c r="U186" s="63">
        <f t="shared" si="27"/>
        <v>0</v>
      </c>
      <c r="V186" s="56">
        <f t="shared" si="28"/>
        <v>0</v>
      </c>
      <c r="W186" s="64">
        <f t="shared" si="29"/>
        <v>0</v>
      </c>
      <c r="X186" s="58"/>
      <c r="Z186" s="279">
        <f t="shared" si="30"/>
        <v>0</v>
      </c>
    </row>
    <row r="187" spans="1:26" ht="12.75">
      <c r="A187" s="89" t="s">
        <v>306</v>
      </c>
      <c r="B187" s="75" t="str">
        <f>IF(ISNA(VLOOKUP($A187,'[2]Coding (Do not delete)'!$A$7:$K$656,3,FALSE))=TRUE,0,VLOOKUP($A187,'[2]Coding (Do not delete)'!$A$7:$K$656,8,FALSE))</f>
        <v>JE#  0012  Oth Def Adj - a/c 256310 - Reg Liab ITC Gross-up</v>
      </c>
      <c r="C187" s="65">
        <f>IF(ISNA(VLOOKUP($A187,'[2]Coding (Do not delete)'!$A$7:$K$656,5,FALSE))=TRUE,0,VLOOKUP($A187,'[2]Coding (Do not delete)'!$A$7:$K$656,5,FALSE))</f>
        <v>256310</v>
      </c>
      <c r="D187" s="65" t="s">
        <v>297</v>
      </c>
      <c r="E187" s="54" t="s">
        <v>257</v>
      </c>
      <c r="F187" s="87">
        <v>0.1542</v>
      </c>
      <c r="G187" s="61">
        <v>643059</v>
      </c>
      <c r="H187" s="56">
        <v>0</v>
      </c>
      <c r="I187" s="56"/>
      <c r="J187" s="56">
        <v>0</v>
      </c>
      <c r="K187" s="56">
        <v>0</v>
      </c>
      <c r="L187" s="56">
        <v>0</v>
      </c>
      <c r="M187" s="61">
        <f t="shared" si="25"/>
        <v>643059</v>
      </c>
      <c r="N187" s="56">
        <f>IF(ISNA(VLOOKUP($B187,'[2]Current Provision - HYP'!$A$10:$BQ$201,$E$5,FALSE))=TRUE,0,VLOOKUP($B187,'[2]Current Provision - HYP'!$A$10:$BQ$201,$E$5,FALSE))</f>
        <v>0</v>
      </c>
      <c r="O187" s="56">
        <v>0</v>
      </c>
      <c r="P187" s="58">
        <v>0</v>
      </c>
      <c r="Q187" s="58">
        <v>0</v>
      </c>
      <c r="R187" s="58">
        <v>0</v>
      </c>
      <c r="S187" s="61">
        <f t="shared" si="26"/>
        <v>643059</v>
      </c>
      <c r="T187" s="56"/>
      <c r="U187" s="63">
        <f t="shared" si="27"/>
        <v>250149.95099999997</v>
      </c>
      <c r="V187" s="56">
        <f t="shared" si="28"/>
        <v>0</v>
      </c>
      <c r="W187" s="64">
        <f t="shared" si="29"/>
        <v>250149.95099999997</v>
      </c>
      <c r="Z187" s="279">
        <f t="shared" si="30"/>
        <v>0</v>
      </c>
    </row>
    <row r="188" spans="1:26" ht="12.75">
      <c r="A188" s="89" t="s">
        <v>307</v>
      </c>
      <c r="B188" s="75" t="str">
        <f>IF(ISNA(VLOOKUP($A188,'[2]Coding (Do not delete)'!$A$7:$K$656,3,FALSE))=TRUE,0,VLOOKUP($A188,'[2]Coding (Do not delete)'!$A$7:$K$656,8,FALSE))</f>
        <v>JE#  0013  Oth Def Adj - a/c 256315 - Reg Liab State ITC Gr-up</v>
      </c>
      <c r="C188" s="65">
        <f>IF(ISNA(VLOOKUP($A188,'[2]Coding (Do not delete)'!$A$7:$K$656,5,FALSE))=TRUE,0,VLOOKUP($A188,'[2]Coding (Do not delete)'!$A$7:$K$656,5,FALSE))</f>
        <v>256315</v>
      </c>
      <c r="D188" s="65" t="s">
        <v>297</v>
      </c>
      <c r="E188" s="54" t="s">
        <v>257</v>
      </c>
      <c r="F188" s="87">
        <v>0</v>
      </c>
      <c r="G188" s="61">
        <v>0</v>
      </c>
      <c r="H188" s="56">
        <v>0</v>
      </c>
      <c r="I188" s="56"/>
      <c r="J188" s="56">
        <v>0</v>
      </c>
      <c r="K188" s="56">
        <v>0</v>
      </c>
      <c r="L188" s="56">
        <v>0</v>
      </c>
      <c r="M188" s="61">
        <f t="shared" si="25"/>
        <v>0</v>
      </c>
      <c r="N188" s="56">
        <f>IF(ISNA(VLOOKUP($B188,'[2]Current Provision - HYP'!$A$10:$BQ$201,$E$5,FALSE))=TRUE,0,VLOOKUP($B188,'[2]Current Provision - HYP'!$A$10:$BQ$201,$E$5,FALSE))</f>
        <v>0</v>
      </c>
      <c r="O188" s="56">
        <v>0</v>
      </c>
      <c r="P188" s="58">
        <v>0</v>
      </c>
      <c r="Q188" s="58">
        <v>0</v>
      </c>
      <c r="R188" s="58">
        <v>0</v>
      </c>
      <c r="S188" s="61">
        <f t="shared" si="26"/>
        <v>0</v>
      </c>
      <c r="T188" s="56"/>
      <c r="U188" s="63">
        <f t="shared" si="27"/>
        <v>0</v>
      </c>
      <c r="V188" s="56">
        <f t="shared" si="28"/>
        <v>0</v>
      </c>
      <c r="W188" s="64">
        <f t="shared" si="29"/>
        <v>0</v>
      </c>
      <c r="X188" s="58"/>
      <c r="Z188" s="279">
        <f t="shared" si="30"/>
        <v>0</v>
      </c>
    </row>
    <row r="189" spans="1:26" ht="12.75">
      <c r="A189" s="74" t="s">
        <v>86</v>
      </c>
      <c r="B189" s="75" t="s">
        <v>308</v>
      </c>
      <c r="C189" s="65"/>
      <c r="D189" s="65" t="s">
        <v>93</v>
      </c>
      <c r="E189" s="54" t="s">
        <v>257</v>
      </c>
      <c r="F189" s="87">
        <v>0</v>
      </c>
      <c r="G189" s="61">
        <v>0</v>
      </c>
      <c r="H189" s="56">
        <v>0</v>
      </c>
      <c r="I189" s="56"/>
      <c r="J189" s="56">
        <v>0</v>
      </c>
      <c r="K189" s="56">
        <v>0</v>
      </c>
      <c r="L189" s="56">
        <v>0</v>
      </c>
      <c r="M189" s="61">
        <f t="shared" si="25"/>
        <v>0</v>
      </c>
      <c r="N189" s="56">
        <f>IF(ISNA(VLOOKUP($B189,'[2]Current Provision - HYP'!$A$10:$BQ$201,$E$5,FALSE))=TRUE,0,VLOOKUP($B189,'[2]Current Provision - HYP'!$A$10:$BQ$201,$E$5,FALSE))</f>
        <v>0</v>
      </c>
      <c r="O189" s="56">
        <v>0</v>
      </c>
      <c r="P189" s="58">
        <v>0</v>
      </c>
      <c r="Q189" s="58">
        <v>0</v>
      </c>
      <c r="R189" s="58">
        <v>0</v>
      </c>
      <c r="S189" s="61">
        <f t="shared" si="26"/>
        <v>0</v>
      </c>
      <c r="T189" s="56"/>
      <c r="U189" s="63">
        <f t="shared" si="27"/>
        <v>0</v>
      </c>
      <c r="V189" s="56">
        <f t="shared" si="28"/>
        <v>0</v>
      </c>
      <c r="W189" s="64">
        <f t="shared" si="29"/>
        <v>0</v>
      </c>
      <c r="X189" s="58"/>
      <c r="Z189" s="279">
        <f t="shared" si="30"/>
        <v>0</v>
      </c>
    </row>
    <row r="190" spans="1:26">
      <c r="A190" s="74" t="s">
        <v>86</v>
      </c>
      <c r="B190" s="75" t="s">
        <v>309</v>
      </c>
      <c r="C190" s="65"/>
      <c r="D190" s="65" t="s">
        <v>297</v>
      </c>
      <c r="E190" s="54" t="s">
        <v>257</v>
      </c>
      <c r="F190" s="84"/>
      <c r="G190" s="61">
        <v>0</v>
      </c>
      <c r="H190" s="56">
        <v>0</v>
      </c>
      <c r="I190" s="56"/>
      <c r="J190" s="56">
        <v>0</v>
      </c>
      <c r="K190" s="56">
        <v>0</v>
      </c>
      <c r="L190" s="56">
        <v>0</v>
      </c>
      <c r="M190" s="61">
        <f t="shared" si="25"/>
        <v>0</v>
      </c>
      <c r="N190" s="56">
        <f>IF(ISNA(VLOOKUP($B190,'[2]Current Provision - HYP'!$A$10:$BQ$201,$E$5,FALSE))=TRUE,0,VLOOKUP($B190,'[2]Current Provision - HYP'!$A$10:$BQ$201,$E$5,FALSE))</f>
        <v>0</v>
      </c>
      <c r="O190" s="56">
        <v>0</v>
      </c>
      <c r="P190" s="58">
        <v>0</v>
      </c>
      <c r="Q190" s="58">
        <v>0</v>
      </c>
      <c r="R190" s="58">
        <v>0</v>
      </c>
      <c r="S190" s="61">
        <f t="shared" si="26"/>
        <v>0</v>
      </c>
      <c r="T190" s="56"/>
      <c r="U190" s="63">
        <f t="shared" si="27"/>
        <v>0</v>
      </c>
      <c r="V190" s="56">
        <f t="shared" si="28"/>
        <v>0</v>
      </c>
      <c r="W190" s="64">
        <f t="shared" si="29"/>
        <v>0</v>
      </c>
      <c r="X190" s="58"/>
      <c r="Z190" s="279">
        <f t="shared" si="30"/>
        <v>0</v>
      </c>
    </row>
    <row r="191" spans="1:26">
      <c r="A191" s="74" t="s">
        <v>86</v>
      </c>
      <c r="B191" s="75" t="s">
        <v>310</v>
      </c>
      <c r="C191" s="65"/>
      <c r="D191" s="65" t="s">
        <v>93</v>
      </c>
      <c r="E191" s="54" t="s">
        <v>137</v>
      </c>
      <c r="F191" s="84"/>
      <c r="G191" s="61">
        <v>0</v>
      </c>
      <c r="H191" s="56">
        <v>0</v>
      </c>
      <c r="I191" s="56"/>
      <c r="J191" s="56">
        <v>0</v>
      </c>
      <c r="K191" s="56">
        <v>0</v>
      </c>
      <c r="L191" s="56">
        <v>0</v>
      </c>
      <c r="M191" s="61">
        <f t="shared" si="25"/>
        <v>0</v>
      </c>
      <c r="N191" s="56">
        <f>IF(ISNA(VLOOKUP($B191,'[2]Current Provision - HYP'!$A$10:$BQ$201,$E$5,FALSE))=TRUE,0,VLOOKUP($B191,'[2]Current Provision - HYP'!$A$10:$BQ$201,$E$5,FALSE))</f>
        <v>0</v>
      </c>
      <c r="O191" s="56">
        <v>0</v>
      </c>
      <c r="P191" s="58">
        <v>0</v>
      </c>
      <c r="Q191" s="58">
        <v>0</v>
      </c>
      <c r="R191" s="58">
        <v>0</v>
      </c>
      <c r="S191" s="61">
        <f t="shared" si="26"/>
        <v>0</v>
      </c>
      <c r="T191" s="56"/>
      <c r="U191" s="63">
        <f t="shared" si="27"/>
        <v>0</v>
      </c>
      <c r="V191" s="56">
        <f t="shared" si="28"/>
        <v>0</v>
      </c>
      <c r="W191" s="64">
        <f t="shared" si="29"/>
        <v>0</v>
      </c>
      <c r="X191" s="58"/>
      <c r="Z191" s="279">
        <f t="shared" si="30"/>
        <v>0</v>
      </c>
    </row>
    <row r="192" spans="1:26">
      <c r="A192" s="74" t="s">
        <v>86</v>
      </c>
      <c r="B192" s="75" t="s">
        <v>310</v>
      </c>
      <c r="C192" s="65"/>
      <c r="D192" s="65"/>
      <c r="E192" s="54" t="s">
        <v>257</v>
      </c>
      <c r="F192" s="84"/>
      <c r="G192" s="61">
        <v>0</v>
      </c>
      <c r="H192" s="56">
        <v>0</v>
      </c>
      <c r="I192" s="56"/>
      <c r="J192" s="56">
        <v>0</v>
      </c>
      <c r="K192" s="56">
        <v>0</v>
      </c>
      <c r="L192" s="56">
        <v>0</v>
      </c>
      <c r="M192" s="61">
        <f t="shared" si="25"/>
        <v>0</v>
      </c>
      <c r="N192" s="56">
        <f>IF(ISNA(VLOOKUP($B192,'[2]Current Provision - HYP'!$A$10:$BQ$201,$E$5,FALSE))=TRUE,0,VLOOKUP($B192,'[2]Current Provision - HYP'!$A$10:$BQ$201,$E$5,FALSE))</f>
        <v>0</v>
      </c>
      <c r="O192" s="56">
        <v>0</v>
      </c>
      <c r="P192" s="58">
        <v>0</v>
      </c>
      <c r="Q192" s="58">
        <v>0</v>
      </c>
      <c r="R192" s="58">
        <v>0</v>
      </c>
      <c r="S192" s="61">
        <f t="shared" si="26"/>
        <v>0</v>
      </c>
      <c r="T192" s="56"/>
      <c r="U192" s="63">
        <f t="shared" si="27"/>
        <v>0</v>
      </c>
      <c r="V192" s="56">
        <f t="shared" si="28"/>
        <v>0</v>
      </c>
      <c r="W192" s="64">
        <f t="shared" si="29"/>
        <v>0</v>
      </c>
      <c r="X192" s="58"/>
      <c r="Z192" s="279">
        <f t="shared" si="30"/>
        <v>0</v>
      </c>
    </row>
    <row r="193" spans="1:26">
      <c r="A193" s="74" t="s">
        <v>86</v>
      </c>
      <c r="B193" s="75" t="s">
        <v>310</v>
      </c>
      <c r="C193" s="65"/>
      <c r="D193" s="65"/>
      <c r="E193" s="54">
        <v>0</v>
      </c>
      <c r="F193" s="84"/>
      <c r="G193" s="61">
        <v>0</v>
      </c>
      <c r="H193" s="56">
        <v>0</v>
      </c>
      <c r="I193" s="56"/>
      <c r="J193" s="56">
        <v>0</v>
      </c>
      <c r="K193" s="56">
        <v>0</v>
      </c>
      <c r="L193" s="56">
        <v>0</v>
      </c>
      <c r="M193" s="61">
        <f t="shared" si="25"/>
        <v>0</v>
      </c>
      <c r="N193" s="56">
        <f>IF(ISNA(VLOOKUP($B193,'[2]Current Provision - HYP'!$A$10:$BQ$201,$E$5,FALSE))=TRUE,0,VLOOKUP($B193,'[2]Current Provision - HYP'!$A$10:$BQ$201,$E$5,FALSE))</f>
        <v>0</v>
      </c>
      <c r="O193" s="56">
        <v>0</v>
      </c>
      <c r="P193" s="58">
        <v>0</v>
      </c>
      <c r="Q193" s="58">
        <v>0</v>
      </c>
      <c r="R193" s="58">
        <v>0</v>
      </c>
      <c r="S193" s="61">
        <f t="shared" si="26"/>
        <v>0</v>
      </c>
      <c r="T193" s="56"/>
      <c r="U193" s="63">
        <f t="shared" si="27"/>
        <v>0</v>
      </c>
      <c r="V193" s="56">
        <f t="shared" si="28"/>
        <v>0</v>
      </c>
      <c r="W193" s="64">
        <f t="shared" si="29"/>
        <v>0</v>
      </c>
      <c r="X193" s="58"/>
      <c r="Z193" s="279">
        <f t="shared" si="30"/>
        <v>0</v>
      </c>
    </row>
    <row r="194" spans="1:26">
      <c r="A194" s="74" t="s">
        <v>86</v>
      </c>
      <c r="B194" s="75" t="s">
        <v>310</v>
      </c>
      <c r="C194" s="65"/>
      <c r="D194" s="65"/>
      <c r="E194" s="54">
        <v>0</v>
      </c>
      <c r="F194" s="84"/>
      <c r="G194" s="61">
        <v>0</v>
      </c>
      <c r="H194" s="56">
        <v>0</v>
      </c>
      <c r="I194" s="56"/>
      <c r="J194" s="56">
        <v>0</v>
      </c>
      <c r="K194" s="56">
        <v>0</v>
      </c>
      <c r="L194" s="56">
        <v>0</v>
      </c>
      <c r="M194" s="61">
        <f t="shared" si="25"/>
        <v>0</v>
      </c>
      <c r="N194" s="56">
        <f>IF(ISNA(VLOOKUP($B194,'[2]Current Provision - HYP'!$A$10:$BQ$201,$E$5,FALSE))=TRUE,0,VLOOKUP($B194,'[2]Current Provision - HYP'!$A$10:$BQ$201,$E$5,FALSE))</f>
        <v>0</v>
      </c>
      <c r="O194" s="56">
        <v>0</v>
      </c>
      <c r="P194" s="58">
        <v>0</v>
      </c>
      <c r="Q194" s="58">
        <v>0</v>
      </c>
      <c r="R194" s="58">
        <v>0</v>
      </c>
      <c r="S194" s="61">
        <f t="shared" si="26"/>
        <v>0</v>
      </c>
      <c r="T194" s="56"/>
      <c r="U194" s="63">
        <f t="shared" si="27"/>
        <v>0</v>
      </c>
      <c r="V194" s="56">
        <f t="shared" si="28"/>
        <v>0</v>
      </c>
      <c r="W194" s="64">
        <f t="shared" si="29"/>
        <v>0</v>
      </c>
      <c r="X194" s="58"/>
      <c r="Z194" s="279">
        <f t="shared" si="30"/>
        <v>0</v>
      </c>
    </row>
    <row r="195" spans="1:26">
      <c r="A195" s="68" t="s">
        <v>311</v>
      </c>
      <c r="B195" s="68"/>
      <c r="C195" s="69"/>
      <c r="D195" s="69"/>
      <c r="E195" s="69"/>
      <c r="F195" s="70" t="s">
        <v>312</v>
      </c>
      <c r="G195" s="71">
        <f t="shared" ref="G195:S195" si="31">SUM(G178:G194)</f>
        <v>261490.66999999993</v>
      </c>
      <c r="H195" s="71">
        <f t="shared" si="31"/>
        <v>0</v>
      </c>
      <c r="I195" s="71">
        <f t="shared" si="31"/>
        <v>0</v>
      </c>
      <c r="J195" s="71">
        <f t="shared" si="31"/>
        <v>0</v>
      </c>
      <c r="K195" s="71">
        <f t="shared" si="31"/>
        <v>0</v>
      </c>
      <c r="L195" s="71">
        <f t="shared" si="31"/>
        <v>0</v>
      </c>
      <c r="M195" s="71">
        <f t="shared" si="31"/>
        <v>261490.66999999993</v>
      </c>
      <c r="N195" s="71">
        <f t="shared" si="31"/>
        <v>0</v>
      </c>
      <c r="O195" s="71">
        <f>SUM(O178:O194)</f>
        <v>254790.81</v>
      </c>
      <c r="P195" s="71">
        <f>SUM(P178:P194)</f>
        <v>0</v>
      </c>
      <c r="Q195" s="71">
        <f t="shared" si="31"/>
        <v>0</v>
      </c>
      <c r="R195" s="71">
        <f t="shared" si="31"/>
        <v>0</v>
      </c>
      <c r="S195" s="71">
        <f t="shared" si="31"/>
        <v>516281.48</v>
      </c>
      <c r="T195" s="71"/>
      <c r="U195" s="90">
        <f>SUM(U178:U194)</f>
        <v>1536623.7816299996</v>
      </c>
      <c r="V195" s="71">
        <f>SUM(V178:V194)</f>
        <v>1335790.2859099999</v>
      </c>
      <c r="W195" s="91">
        <f>SUM(W178:W194)</f>
        <v>200833.49572000009</v>
      </c>
      <c r="X195" s="58"/>
      <c r="Z195" s="279">
        <f t="shared" si="30"/>
        <v>0</v>
      </c>
    </row>
    <row r="196" spans="1:26">
      <c r="C196" s="88"/>
      <c r="D196" s="10"/>
      <c r="F196" s="84"/>
      <c r="G196" s="56"/>
      <c r="H196" s="56"/>
      <c r="I196" s="56"/>
      <c r="J196" s="56"/>
      <c r="K196" s="56"/>
      <c r="L196" s="56"/>
      <c r="M196" s="73" t="str">
        <f>IF(SUM(G195:L195)=M195,"CF","ERROR CF")</f>
        <v>CF</v>
      </c>
      <c r="N196" s="56"/>
      <c r="O196" s="56"/>
      <c r="P196" s="56"/>
      <c r="Q196" s="56"/>
      <c r="R196" s="56"/>
      <c r="S196" s="73" t="str">
        <f>IF(ROUND(SUM(M195:R195),0)=ROUND(S195,0),"CF","ERROR CF")</f>
        <v>CF</v>
      </c>
      <c r="T196" s="56"/>
      <c r="U196" s="56"/>
      <c r="V196" s="56"/>
      <c r="W196" s="64"/>
      <c r="X196" s="58"/>
      <c r="Z196" s="279"/>
    </row>
    <row r="197" spans="1:26">
      <c r="A197" s="323" t="s">
        <v>313</v>
      </c>
      <c r="B197" s="323"/>
      <c r="C197" s="323"/>
      <c r="D197" s="323"/>
      <c r="E197" s="323"/>
      <c r="F197" s="84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64"/>
      <c r="X197" s="58"/>
      <c r="Z197" s="279"/>
    </row>
    <row r="198" spans="1:26">
      <c r="A198" s="86" t="s">
        <v>314</v>
      </c>
      <c r="B198" s="75" t="str">
        <f>IF(ISNA(VLOOKUP($A198,'[2]Coding (Do not delete)'!$A$7:$K$656,3,FALSE))=TRUE,0,VLOOKUP($A198,'[2]Coding (Do not delete)'!$A$7:$K$656,8,FALSE))</f>
        <v>JE#  0006  Oth Def Adj - a/c 255000 - Unamortized ITC</v>
      </c>
      <c r="C198" s="65">
        <f>IF(ISNA(VLOOKUP($A198,'[2]Coding (Do not delete)'!$A$7:$K$656,5,FALSE))=TRUE,0,VLOOKUP($A198,'[2]Coding (Do not delete)'!$A$7:$K$656,5,FALSE))</f>
        <v>255000</v>
      </c>
      <c r="D198" s="65" t="s">
        <v>315</v>
      </c>
      <c r="E198" s="54" t="s">
        <v>316</v>
      </c>
      <c r="F198" s="79" t="s">
        <v>317</v>
      </c>
      <c r="G198" s="61">
        <v>1048216.65</v>
      </c>
      <c r="H198" s="56">
        <v>0</v>
      </c>
      <c r="I198" s="56"/>
      <c r="J198" s="56">
        <v>0</v>
      </c>
      <c r="K198" s="56">
        <v>0</v>
      </c>
      <c r="L198" s="56">
        <v>0</v>
      </c>
      <c r="M198" s="61">
        <f t="shared" ref="M198:M203" si="32">SUM(G198:L198)</f>
        <v>1048216.65</v>
      </c>
      <c r="N198" s="56">
        <f>IF(ISNA(VLOOKUP($B198,'[2]Current Provision - HYP'!$A$10:$BQ$201,$E$5,FALSE))=TRUE,0,VLOOKUP($B198,'[2]Current Provision - HYP'!$A$10:$BQ$201,$E$5,FALSE))</f>
        <v>0</v>
      </c>
      <c r="O198" s="56">
        <v>0</v>
      </c>
      <c r="P198" s="56">
        <f>(IF(ISNA(HLOOKUP($E$3,'[2]Journal Entries Calculation'!$F$7:$CC$76,74-6,FALSE))=TRUE,0,HLOOKUP($E$3,'[2]Journal Entries Calculation'!$F$7:$CC$76,74-6,FALSE)))+(IF(ISNA(HLOOKUP($E$3,'[2]Journal Entries Calculation'!$F$7:$CC$76,76-6,FALSE))=TRUE,0,HLOOKUP($E$3,'[2]Journal Entries Calculation'!$F$7:$CC$76,76-6,FALSE)))</f>
        <v>-84797.04</v>
      </c>
      <c r="Q198" s="58">
        <v>0</v>
      </c>
      <c r="R198" s="58">
        <v>0</v>
      </c>
      <c r="S198" s="61">
        <f t="shared" ref="S198:S203" si="33">SUM(M198:R198)</f>
        <v>963419.61</v>
      </c>
      <c r="T198" s="56"/>
      <c r="U198" s="63">
        <f t="shared" ref="U198:U203" si="34">IF(S198&gt;0,S198*$G$308,0)</f>
        <v>374770.22828999994</v>
      </c>
      <c r="V198" s="56">
        <f t="shared" ref="V198:V203" si="35">IF(S198&lt;0,-S198*$G$308,0)</f>
        <v>0</v>
      </c>
      <c r="W198" s="64">
        <f t="shared" ref="W198:W203" si="36">U198-V198</f>
        <v>374770.22828999994</v>
      </c>
      <c r="X198" s="58"/>
      <c r="Z198" s="279">
        <f t="shared" ref="Z198:Z204" si="37">SUM(M198:R198)-S198</f>
        <v>0</v>
      </c>
    </row>
    <row r="199" spans="1:26">
      <c r="A199" s="86" t="s">
        <v>318</v>
      </c>
      <c r="B199" s="75" t="str">
        <f>IF(ISNA(VLOOKUP($A199,'[2]Coding (Do not delete)'!$A$7:$K$656,3,FALSE))=TRUE,0,VLOOKUP($A199,'[2]Coding (Do not delete)'!$A$7:$K$656,8,FALSE))</f>
        <v>JE#  0007  Oth Def Adj - a/c 255105 - SIT Unamortized ITC</v>
      </c>
      <c r="C199" s="65">
        <f>IF(ISNA(VLOOKUP($A199,'[2]Coding (Do not delete)'!$A$7:$K$656,5,FALSE))=TRUE,0,VLOOKUP($A199,'[2]Coding (Do not delete)'!$A$7:$K$656,5,FALSE))</f>
        <v>255105</v>
      </c>
      <c r="D199" s="65" t="s">
        <v>315</v>
      </c>
      <c r="E199" s="54" t="s">
        <v>316</v>
      </c>
      <c r="F199" s="84"/>
      <c r="G199" s="61">
        <v>0</v>
      </c>
      <c r="H199" s="56">
        <v>0</v>
      </c>
      <c r="I199" s="56"/>
      <c r="J199" s="56">
        <v>0</v>
      </c>
      <c r="K199" s="56">
        <v>0</v>
      </c>
      <c r="L199" s="56">
        <v>0</v>
      </c>
      <c r="M199" s="61">
        <f t="shared" si="32"/>
        <v>0</v>
      </c>
      <c r="N199" s="56">
        <f>IF(ISNA(VLOOKUP($B199,'[2]Current Provision - HYP'!$A$10:$BQ$201,$E$5,FALSE))=TRUE,0,VLOOKUP($B199,'[2]Current Provision - HYP'!$A$10:$BQ$201,$E$5,FALSE))</f>
        <v>0</v>
      </c>
      <c r="O199" s="56">
        <v>0</v>
      </c>
      <c r="P199" s="58">
        <v>0</v>
      </c>
      <c r="Q199" s="58">
        <v>0</v>
      </c>
      <c r="R199" s="58">
        <v>0</v>
      </c>
      <c r="S199" s="61">
        <f t="shared" si="33"/>
        <v>0</v>
      </c>
      <c r="T199" s="56"/>
      <c r="U199" s="63">
        <f t="shared" si="34"/>
        <v>0</v>
      </c>
      <c r="V199" s="56">
        <f t="shared" si="35"/>
        <v>0</v>
      </c>
      <c r="W199" s="64">
        <f t="shared" si="36"/>
        <v>0</v>
      </c>
      <c r="X199" s="58"/>
      <c r="Z199" s="279">
        <f t="shared" si="37"/>
        <v>0</v>
      </c>
    </row>
    <row r="200" spans="1:26">
      <c r="A200" s="74" t="s">
        <v>86</v>
      </c>
      <c r="B200" s="75" t="s">
        <v>8</v>
      </c>
      <c r="D200" s="65"/>
      <c r="E200" s="54">
        <v>0</v>
      </c>
      <c r="F200" s="84"/>
      <c r="G200" s="61">
        <v>0</v>
      </c>
      <c r="H200" s="56">
        <v>0</v>
      </c>
      <c r="I200" s="56"/>
      <c r="J200" s="56">
        <v>0</v>
      </c>
      <c r="K200" s="56">
        <v>0</v>
      </c>
      <c r="L200" s="56">
        <v>0</v>
      </c>
      <c r="M200" s="61">
        <f t="shared" si="32"/>
        <v>0</v>
      </c>
      <c r="N200" s="56">
        <f>IF(ISNA(VLOOKUP($B200,'[2]Current Provision - HYP'!$A$10:$BQ$201,$E$5,FALSE))=TRUE,0,VLOOKUP($B200,'[2]Current Provision - HYP'!$A$10:$BQ$201,$E$5,FALSE))</f>
        <v>0</v>
      </c>
      <c r="O200" s="56">
        <v>0</v>
      </c>
      <c r="P200" s="58">
        <v>0</v>
      </c>
      <c r="Q200" s="58">
        <v>0</v>
      </c>
      <c r="R200" s="58">
        <v>0</v>
      </c>
      <c r="S200" s="61">
        <f t="shared" si="33"/>
        <v>0</v>
      </c>
      <c r="T200" s="56"/>
      <c r="U200" s="63">
        <f t="shared" si="34"/>
        <v>0</v>
      </c>
      <c r="V200" s="56">
        <f t="shared" si="35"/>
        <v>0</v>
      </c>
      <c r="W200" s="64">
        <f t="shared" si="36"/>
        <v>0</v>
      </c>
      <c r="Z200" s="279">
        <f t="shared" si="37"/>
        <v>0</v>
      </c>
    </row>
    <row r="201" spans="1:26">
      <c r="A201" s="74" t="s">
        <v>86</v>
      </c>
      <c r="B201" s="75" t="s">
        <v>8</v>
      </c>
      <c r="D201" s="65"/>
      <c r="E201" s="54">
        <v>0</v>
      </c>
      <c r="F201" s="84"/>
      <c r="G201" s="61">
        <v>0</v>
      </c>
      <c r="H201" s="56">
        <v>0</v>
      </c>
      <c r="I201" s="56"/>
      <c r="J201" s="56">
        <v>0</v>
      </c>
      <c r="K201" s="56">
        <v>0</v>
      </c>
      <c r="L201" s="56">
        <v>0</v>
      </c>
      <c r="M201" s="61">
        <f t="shared" si="32"/>
        <v>0</v>
      </c>
      <c r="N201" s="56">
        <f>IF(ISNA(VLOOKUP($B201,'[2]Current Provision - HYP'!$A$10:$BQ$201,$E$5,FALSE))=TRUE,0,VLOOKUP($B201,'[2]Current Provision - HYP'!$A$10:$BQ$201,$E$5,FALSE))</f>
        <v>0</v>
      </c>
      <c r="O201" s="56">
        <v>0</v>
      </c>
      <c r="P201" s="58">
        <v>0</v>
      </c>
      <c r="Q201" s="58">
        <v>0</v>
      </c>
      <c r="R201" s="58">
        <v>0</v>
      </c>
      <c r="S201" s="61">
        <f t="shared" si="33"/>
        <v>0</v>
      </c>
      <c r="T201" s="56"/>
      <c r="U201" s="63">
        <f t="shared" si="34"/>
        <v>0</v>
      </c>
      <c r="V201" s="56">
        <f t="shared" si="35"/>
        <v>0</v>
      </c>
      <c r="W201" s="64">
        <f t="shared" si="36"/>
        <v>0</v>
      </c>
      <c r="Z201" s="279">
        <f t="shared" si="37"/>
        <v>0</v>
      </c>
    </row>
    <row r="202" spans="1:26">
      <c r="A202" s="74" t="s">
        <v>86</v>
      </c>
      <c r="B202" s="75" t="s">
        <v>8</v>
      </c>
      <c r="D202" s="65"/>
      <c r="E202" s="54">
        <v>0</v>
      </c>
      <c r="F202" s="84"/>
      <c r="G202" s="61">
        <v>0</v>
      </c>
      <c r="H202" s="56">
        <v>0</v>
      </c>
      <c r="I202" s="56"/>
      <c r="J202" s="56">
        <v>0</v>
      </c>
      <c r="K202" s="56">
        <v>0</v>
      </c>
      <c r="L202" s="56">
        <v>0</v>
      </c>
      <c r="M202" s="61">
        <f t="shared" si="32"/>
        <v>0</v>
      </c>
      <c r="N202" s="56">
        <f>IF(ISNA(VLOOKUP($B202,'[2]Current Provision - HYP'!$A$10:$BQ$201,$E$5,FALSE))=TRUE,0,VLOOKUP($B202,'[2]Current Provision - HYP'!$A$10:$BQ$201,$E$5,FALSE))</f>
        <v>0</v>
      </c>
      <c r="O202" s="56">
        <v>0</v>
      </c>
      <c r="P202" s="58">
        <v>0</v>
      </c>
      <c r="Q202" s="58">
        <v>0</v>
      </c>
      <c r="R202" s="58">
        <v>0</v>
      </c>
      <c r="S202" s="61">
        <f t="shared" si="33"/>
        <v>0</v>
      </c>
      <c r="T202" s="56"/>
      <c r="U202" s="63">
        <f t="shared" si="34"/>
        <v>0</v>
      </c>
      <c r="V202" s="56">
        <f t="shared" si="35"/>
        <v>0</v>
      </c>
      <c r="W202" s="64">
        <f t="shared" si="36"/>
        <v>0</v>
      </c>
      <c r="Z202" s="279">
        <f t="shared" si="37"/>
        <v>0</v>
      </c>
    </row>
    <row r="203" spans="1:26">
      <c r="A203" s="74" t="s">
        <v>86</v>
      </c>
      <c r="B203" s="75" t="s">
        <v>319</v>
      </c>
      <c r="D203" s="65" t="s">
        <v>315</v>
      </c>
      <c r="E203" s="54" t="s">
        <v>316</v>
      </c>
      <c r="F203" s="84"/>
      <c r="G203" s="61">
        <v>0</v>
      </c>
      <c r="H203" s="56">
        <v>0</v>
      </c>
      <c r="I203" s="56"/>
      <c r="J203" s="56">
        <v>0</v>
      </c>
      <c r="K203" s="56">
        <v>0</v>
      </c>
      <c r="L203" s="56">
        <v>0</v>
      </c>
      <c r="M203" s="61">
        <f t="shared" si="32"/>
        <v>0</v>
      </c>
      <c r="N203" s="56">
        <f>IF(ISNA(VLOOKUP($B203,'[2]Current Provision - HYP'!$A$10:$BQ$201,$E$5,FALSE))=TRUE,0,VLOOKUP($B203,'[2]Current Provision - HYP'!$A$10:$BQ$201,$E$5,FALSE))</f>
        <v>0</v>
      </c>
      <c r="O203" s="56">
        <v>0</v>
      </c>
      <c r="P203" s="58">
        <v>0</v>
      </c>
      <c r="Q203" s="58">
        <v>0</v>
      </c>
      <c r="R203" s="58">
        <v>0</v>
      </c>
      <c r="S203" s="61">
        <f t="shared" si="33"/>
        <v>0</v>
      </c>
      <c r="T203" s="56"/>
      <c r="U203" s="63">
        <f t="shared" si="34"/>
        <v>0</v>
      </c>
      <c r="V203" s="56">
        <f t="shared" si="35"/>
        <v>0</v>
      </c>
      <c r="W203" s="64">
        <f t="shared" si="36"/>
        <v>0</v>
      </c>
      <c r="X203" s="58"/>
      <c r="Z203" s="279">
        <f t="shared" si="37"/>
        <v>0</v>
      </c>
    </row>
    <row r="204" spans="1:26">
      <c r="A204" s="68" t="s">
        <v>320</v>
      </c>
      <c r="B204" s="68"/>
      <c r="C204" s="69"/>
      <c r="D204" s="69"/>
      <c r="E204" s="69"/>
      <c r="F204" s="70" t="s">
        <v>321</v>
      </c>
      <c r="G204" s="71">
        <f t="shared" ref="G204:S204" si="38">SUM(G198:G203)</f>
        <v>1048216.65</v>
      </c>
      <c r="H204" s="71">
        <f t="shared" si="38"/>
        <v>0</v>
      </c>
      <c r="I204" s="71">
        <f t="shared" si="38"/>
        <v>0</v>
      </c>
      <c r="J204" s="71">
        <f t="shared" si="38"/>
        <v>0</v>
      </c>
      <c r="K204" s="71">
        <f t="shared" si="38"/>
        <v>0</v>
      </c>
      <c r="L204" s="71">
        <f t="shared" si="38"/>
        <v>0</v>
      </c>
      <c r="M204" s="71">
        <f t="shared" si="38"/>
        <v>1048216.65</v>
      </c>
      <c r="N204" s="71">
        <f t="shared" si="38"/>
        <v>0</v>
      </c>
      <c r="O204" s="71">
        <f t="shared" si="38"/>
        <v>0</v>
      </c>
      <c r="P204" s="71">
        <f t="shared" si="38"/>
        <v>-84797.04</v>
      </c>
      <c r="Q204" s="71">
        <f t="shared" si="38"/>
        <v>0</v>
      </c>
      <c r="R204" s="71">
        <f t="shared" si="38"/>
        <v>0</v>
      </c>
      <c r="S204" s="71">
        <f t="shared" si="38"/>
        <v>963419.61</v>
      </c>
      <c r="T204" s="71"/>
      <c r="U204" s="71">
        <f>SUM(U198:U203)</f>
        <v>374770.22828999994</v>
      </c>
      <c r="V204" s="71">
        <f>SUM(V198:V203)</f>
        <v>0</v>
      </c>
      <c r="W204" s="91">
        <f>SUM(W198:W203)</f>
        <v>374770.22828999994</v>
      </c>
      <c r="Z204" s="279">
        <f t="shared" si="37"/>
        <v>0</v>
      </c>
    </row>
    <row r="205" spans="1:26">
      <c r="A205" s="59"/>
      <c r="B205" s="59"/>
      <c r="C205" s="65"/>
      <c r="D205" s="65"/>
      <c r="E205" s="65"/>
      <c r="F205" s="66"/>
      <c r="G205" s="56"/>
      <c r="H205" s="56"/>
      <c r="I205" s="56"/>
      <c r="J205" s="56"/>
      <c r="K205" s="56"/>
      <c r="L205" s="56"/>
      <c r="M205" s="73" t="str">
        <f>IF(SUM(G204:L204)=M204,"CF","ERROR CF")</f>
        <v>CF</v>
      </c>
      <c r="N205" s="56"/>
      <c r="O205" s="56"/>
      <c r="P205" s="56"/>
      <c r="Q205" s="56"/>
      <c r="R205" s="56"/>
      <c r="S205" s="73" t="str">
        <f>IF(SUM(M204:R204)=S204,"CF","ERROR CF")</f>
        <v>CF</v>
      </c>
      <c r="T205" s="56"/>
      <c r="U205" s="56"/>
      <c r="V205" s="56"/>
      <c r="W205" s="64"/>
      <c r="Z205" s="279"/>
    </row>
    <row r="206" spans="1:26">
      <c r="A206" s="323" t="s">
        <v>322</v>
      </c>
      <c r="B206" s="323"/>
      <c r="C206" s="323"/>
      <c r="D206" s="323"/>
      <c r="E206" s="323"/>
      <c r="F206" s="84"/>
      <c r="G206" s="56"/>
      <c r="H206" s="56"/>
      <c r="I206" s="56"/>
      <c r="J206" s="56"/>
      <c r="K206" s="56"/>
      <c r="L206" s="56"/>
      <c r="M206" s="73"/>
      <c r="N206" s="56"/>
      <c r="O206" s="56"/>
      <c r="P206" s="56"/>
      <c r="Q206" s="56"/>
      <c r="R206" s="56"/>
      <c r="S206" s="73"/>
      <c r="T206" s="56"/>
      <c r="U206" s="56"/>
      <c r="V206" s="56"/>
      <c r="W206" s="64"/>
      <c r="Z206" s="279"/>
    </row>
    <row r="207" spans="1:26">
      <c r="A207" s="89" t="s">
        <v>323</v>
      </c>
      <c r="B207" s="75" t="str">
        <f>IF(ISNA(VLOOKUP($A207,'[2]Coding (Do not delete)'!$A$7:$K$656,3,FALSE))=TRUE,0,VLOOKUP($A207,'[2]Coding (Do not delete)'!$A$7:$K$656,8,FALSE))</f>
        <v>JE#  0014  Net Operating Loss - Federal</v>
      </c>
      <c r="C207" s="54">
        <f>IF(ISNA(VLOOKUP($A207,'[2]Coding (Do not delete)'!$A$7:$K$656,5,FALSE))=TRUE,0,VLOOKUP($A207,'[2]Coding (Do not delete)'!$A$7:$K$656,5,FALSE))</f>
        <v>900300</v>
      </c>
      <c r="D207" s="54" t="s">
        <v>324</v>
      </c>
      <c r="E207" s="54" t="s">
        <v>325</v>
      </c>
      <c r="F207" s="79" t="s">
        <v>326</v>
      </c>
      <c r="G207" s="61">
        <v>578607</v>
      </c>
      <c r="H207" s="56">
        <v>0</v>
      </c>
      <c r="I207" s="56"/>
      <c r="J207" s="56">
        <v>0</v>
      </c>
      <c r="K207" s="56">
        <v>0</v>
      </c>
      <c r="L207" s="56">
        <v>0</v>
      </c>
      <c r="M207" s="61">
        <f t="shared" ref="M207:M217" si="39">SUM(G207:L207)</f>
        <v>578607</v>
      </c>
      <c r="N207" s="112">
        <f>(IF(ISNA(HLOOKUP($E$3,'[2]Current Provision - HYP'!$E$7:$BQ$205,'[2]Current Provision - HYP'!$DI$172-6,FALSE))=TRUE,0,HLOOKUP($E$3,'[2]Current Provision - HYP'!$E$7:$BQ$205,'[2]Current Provision - HYP'!$DI$172-6,FALSE)))*0+(IF(ISNA(HLOOKUP($E$3,'[2]Current Provision - HYP'!$E$7:$BQ$205,'[2]Current Provision - HYP'!$DI$173-6,FALSE))=TRUE,0,(HLOOKUP($E$3,'[2]Current Provision - HYP'!$E$7:$BQ$205,'[2]Current Provision - HYP'!$DI$173-6,FALSE))))*0</f>
        <v>0</v>
      </c>
      <c r="O207" s="56">
        <v>0</v>
      </c>
      <c r="P207" s="58">
        <v>0</v>
      </c>
      <c r="Q207" s="58">
        <v>0</v>
      </c>
      <c r="R207" s="58">
        <v>0</v>
      </c>
      <c r="S207" s="61">
        <f t="shared" ref="S207:S212" si="40">SUM(M207:R207)</f>
        <v>578607</v>
      </c>
      <c r="T207" s="56"/>
      <c r="U207" s="63">
        <f t="shared" ref="U207:U217" si="41">S207*G$305</f>
        <v>202512.44999999998</v>
      </c>
      <c r="V207" s="93" t="s">
        <v>60</v>
      </c>
      <c r="W207" s="64">
        <f t="shared" ref="W207:W217" si="42">U207</f>
        <v>202512.44999999998</v>
      </c>
      <c r="Z207" s="279">
        <f t="shared" ref="Z207:Z218" si="43">SUM(M207:R207)-S207</f>
        <v>0</v>
      </c>
    </row>
    <row r="208" spans="1:26">
      <c r="A208" s="18"/>
      <c r="B208" s="58" t="s">
        <v>327</v>
      </c>
      <c r="D208" s="54" t="s">
        <v>324</v>
      </c>
      <c r="E208" s="54" t="s">
        <v>325</v>
      </c>
      <c r="F208" s="84"/>
      <c r="G208" s="61">
        <v>0</v>
      </c>
      <c r="H208" s="56">
        <v>0</v>
      </c>
      <c r="I208" s="56"/>
      <c r="J208" s="56">
        <v>0</v>
      </c>
      <c r="K208" s="56">
        <v>0</v>
      </c>
      <c r="L208" s="56">
        <v>0</v>
      </c>
      <c r="M208" s="61">
        <f t="shared" si="39"/>
        <v>0</v>
      </c>
      <c r="N208" s="56">
        <f>IF(ISNA(VLOOKUP($B208,'[2]Current Provision - HYP'!$A$10:$BQ$201,$E$5,FALSE))=TRUE,0,VLOOKUP($B208,'[2]Current Provision - HYP'!$A$10:$BQ$201,$E$5,FALSE))</f>
        <v>0</v>
      </c>
      <c r="O208" s="56">
        <v>0</v>
      </c>
      <c r="P208" s="58">
        <v>0</v>
      </c>
      <c r="Q208" s="58">
        <v>0</v>
      </c>
      <c r="R208" s="58">
        <v>0</v>
      </c>
      <c r="S208" s="61">
        <f t="shared" si="40"/>
        <v>0</v>
      </c>
      <c r="T208" s="56"/>
      <c r="U208" s="63">
        <f t="shared" si="41"/>
        <v>0</v>
      </c>
      <c r="V208" s="93" t="s">
        <v>60</v>
      </c>
      <c r="W208" s="64">
        <f t="shared" si="42"/>
        <v>0</v>
      </c>
      <c r="Z208" s="279">
        <f t="shared" si="43"/>
        <v>0</v>
      </c>
    </row>
    <row r="209" spans="1:26">
      <c r="A209" s="89" t="s">
        <v>328</v>
      </c>
      <c r="B209" s="58" t="s">
        <v>329</v>
      </c>
      <c r="D209" s="74" t="s">
        <v>324</v>
      </c>
      <c r="E209" s="54" t="s">
        <v>330</v>
      </c>
      <c r="F209" s="84"/>
      <c r="G209" s="61">
        <v>165135</v>
      </c>
      <c r="H209" s="56">
        <v>144493</v>
      </c>
      <c r="I209" s="56"/>
      <c r="J209" s="56">
        <v>0</v>
      </c>
      <c r="K209" s="56">
        <v>0</v>
      </c>
      <c r="L209" s="56">
        <v>0</v>
      </c>
      <c r="M209" s="61">
        <f t="shared" si="39"/>
        <v>309628</v>
      </c>
      <c r="N209" s="56">
        <f>IF(ISNA(VLOOKUP($B209,'[2]Current Provision - HYP'!$A$10:$BQ$201,$E$5,FALSE))=TRUE,0,VLOOKUP($B209,'[2]Current Provision - HYP'!$A$10:$BQ$201,$E$5,FALSE))</f>
        <v>0</v>
      </c>
      <c r="O209" s="56">
        <v>0</v>
      </c>
      <c r="P209" s="58">
        <v>0</v>
      </c>
      <c r="Q209" s="58">
        <v>0</v>
      </c>
      <c r="R209" s="58">
        <v>0</v>
      </c>
      <c r="S209" s="61">
        <f t="shared" si="40"/>
        <v>309628</v>
      </c>
      <c r="T209" s="56"/>
      <c r="U209" s="63">
        <f t="shared" si="41"/>
        <v>108369.79999999999</v>
      </c>
      <c r="V209" s="93" t="s">
        <v>60</v>
      </c>
      <c r="W209" s="64">
        <f t="shared" si="42"/>
        <v>108369.79999999999</v>
      </c>
      <c r="Z209" s="279">
        <f t="shared" si="43"/>
        <v>0</v>
      </c>
    </row>
    <row r="210" spans="1:26">
      <c r="A210" s="74" t="s">
        <v>86</v>
      </c>
      <c r="B210" s="75" t="s">
        <v>8</v>
      </c>
      <c r="D210" s="54" t="s">
        <v>324</v>
      </c>
      <c r="E210" s="54" t="s">
        <v>325</v>
      </c>
      <c r="F210" s="84"/>
      <c r="G210" s="61">
        <v>0</v>
      </c>
      <c r="H210" s="56">
        <v>0</v>
      </c>
      <c r="I210" s="56"/>
      <c r="J210" s="56">
        <v>0</v>
      </c>
      <c r="K210" s="56">
        <v>0</v>
      </c>
      <c r="L210" s="56">
        <v>0</v>
      </c>
      <c r="M210" s="61">
        <f t="shared" si="39"/>
        <v>0</v>
      </c>
      <c r="N210" s="56">
        <f>IF(ISNA(VLOOKUP($B210,'[2]Current Provision - HYP'!$A$10:$BQ$201,$E$5,FALSE))=TRUE,0,VLOOKUP($B210,'[2]Current Provision - HYP'!$A$10:$BQ$201,$E$5,FALSE))</f>
        <v>0</v>
      </c>
      <c r="O210" s="56">
        <v>0</v>
      </c>
      <c r="P210" s="58">
        <v>0</v>
      </c>
      <c r="Q210" s="58">
        <v>0</v>
      </c>
      <c r="R210" s="58">
        <v>0</v>
      </c>
      <c r="S210" s="61">
        <f t="shared" si="40"/>
        <v>0</v>
      </c>
      <c r="T210" s="56"/>
      <c r="U210" s="63">
        <f t="shared" si="41"/>
        <v>0</v>
      </c>
      <c r="V210" s="93" t="s">
        <v>60</v>
      </c>
      <c r="W210" s="64">
        <f t="shared" si="42"/>
        <v>0</v>
      </c>
      <c r="Z210" s="279">
        <f t="shared" si="43"/>
        <v>0</v>
      </c>
    </row>
    <row r="211" spans="1:26">
      <c r="A211" s="74" t="s">
        <v>86</v>
      </c>
      <c r="B211" s="75" t="s">
        <v>8</v>
      </c>
      <c r="D211" s="54" t="s">
        <v>324</v>
      </c>
      <c r="E211" s="54" t="s">
        <v>325</v>
      </c>
      <c r="F211" s="84"/>
      <c r="G211" s="61">
        <v>0</v>
      </c>
      <c r="H211" s="56">
        <v>0</v>
      </c>
      <c r="I211" s="56"/>
      <c r="J211" s="56">
        <v>0</v>
      </c>
      <c r="K211" s="56">
        <v>0</v>
      </c>
      <c r="L211" s="56">
        <v>0</v>
      </c>
      <c r="M211" s="61">
        <f t="shared" si="39"/>
        <v>0</v>
      </c>
      <c r="N211" s="56">
        <f>IF(ISNA(VLOOKUP($B211,'[2]Current Provision - HYP'!$A$10:$BQ$201,$E$5,FALSE))=TRUE,0,VLOOKUP($B211,'[2]Current Provision - HYP'!$A$10:$BQ$201,$E$5,FALSE))</f>
        <v>0</v>
      </c>
      <c r="O211" s="56">
        <v>0</v>
      </c>
      <c r="P211" s="58">
        <v>0</v>
      </c>
      <c r="Q211" s="58">
        <v>0</v>
      </c>
      <c r="R211" s="58">
        <v>0</v>
      </c>
      <c r="S211" s="61">
        <f t="shared" si="40"/>
        <v>0</v>
      </c>
      <c r="T211" s="56"/>
      <c r="U211" s="63">
        <f t="shared" si="41"/>
        <v>0</v>
      </c>
      <c r="V211" s="93" t="s">
        <v>60</v>
      </c>
      <c r="W211" s="64">
        <f t="shared" si="42"/>
        <v>0</v>
      </c>
      <c r="Z211" s="279">
        <f t="shared" si="43"/>
        <v>0</v>
      </c>
    </row>
    <row r="212" spans="1:26">
      <c r="A212" s="74" t="s">
        <v>86</v>
      </c>
      <c r="B212" s="75"/>
      <c r="D212" s="54" t="s">
        <v>324</v>
      </c>
      <c r="E212" s="54" t="s">
        <v>325</v>
      </c>
      <c r="F212" s="84"/>
      <c r="G212" s="61">
        <v>0</v>
      </c>
      <c r="H212" s="56">
        <v>0</v>
      </c>
      <c r="I212" s="56"/>
      <c r="J212" s="56">
        <v>0</v>
      </c>
      <c r="K212" s="56">
        <v>0</v>
      </c>
      <c r="L212" s="56">
        <v>0</v>
      </c>
      <c r="M212" s="61">
        <f t="shared" si="39"/>
        <v>0</v>
      </c>
      <c r="N212" s="56"/>
      <c r="O212" s="56">
        <v>0</v>
      </c>
      <c r="P212" s="58">
        <v>0</v>
      </c>
      <c r="Q212" s="58">
        <v>0</v>
      </c>
      <c r="R212" s="58">
        <v>0</v>
      </c>
      <c r="S212" s="61">
        <f t="shared" si="40"/>
        <v>0</v>
      </c>
      <c r="T212" s="56"/>
      <c r="U212" s="63">
        <f t="shared" si="41"/>
        <v>0</v>
      </c>
      <c r="V212" s="93" t="s">
        <v>60</v>
      </c>
      <c r="W212" s="64">
        <f t="shared" si="42"/>
        <v>0</v>
      </c>
      <c r="Z212" s="279">
        <f t="shared" si="43"/>
        <v>0</v>
      </c>
    </row>
    <row r="213" spans="1:26">
      <c r="A213" s="74"/>
      <c r="B213" s="75" t="s">
        <v>331</v>
      </c>
      <c r="E213" s="54" t="s">
        <v>95</v>
      </c>
      <c r="F213" s="84"/>
      <c r="G213" s="56">
        <v>0</v>
      </c>
      <c r="H213" s="56">
        <v>0</v>
      </c>
      <c r="I213" s="56"/>
      <c r="J213" s="56">
        <v>0</v>
      </c>
      <c r="K213" s="56">
        <v>0</v>
      </c>
      <c r="L213" s="56">
        <v>0</v>
      </c>
      <c r="M213" s="61">
        <f t="shared" si="39"/>
        <v>0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61">
        <f>SUM(M213:R213)</f>
        <v>0</v>
      </c>
      <c r="T213" s="56"/>
      <c r="U213" s="63">
        <f t="shared" si="41"/>
        <v>0</v>
      </c>
      <c r="V213" s="93" t="s">
        <v>60</v>
      </c>
      <c r="W213" s="64">
        <f t="shared" si="42"/>
        <v>0</v>
      </c>
      <c r="Z213" s="279"/>
    </row>
    <row r="214" spans="1:26">
      <c r="A214" s="74"/>
      <c r="B214" s="75" t="s">
        <v>332</v>
      </c>
      <c r="E214" s="54" t="s">
        <v>325</v>
      </c>
      <c r="F214" s="84"/>
      <c r="G214" s="56">
        <v>0</v>
      </c>
      <c r="H214" s="56">
        <v>0</v>
      </c>
      <c r="I214" s="56"/>
      <c r="J214" s="56">
        <v>0</v>
      </c>
      <c r="K214" s="56">
        <v>0</v>
      </c>
      <c r="L214" s="56">
        <v>0</v>
      </c>
      <c r="M214" s="61">
        <f t="shared" si="39"/>
        <v>0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61">
        <f>SUM(M214:R214)</f>
        <v>0</v>
      </c>
      <c r="T214" s="56"/>
      <c r="U214" s="63">
        <f t="shared" si="41"/>
        <v>0</v>
      </c>
      <c r="V214" s="93" t="s">
        <v>60</v>
      </c>
      <c r="W214" s="64">
        <f t="shared" si="42"/>
        <v>0</v>
      </c>
      <c r="Z214" s="279"/>
    </row>
    <row r="215" spans="1:26">
      <c r="A215" s="74"/>
      <c r="B215" s="75" t="s">
        <v>333</v>
      </c>
      <c r="E215" s="54" t="s">
        <v>325</v>
      </c>
      <c r="F215" s="84"/>
      <c r="G215" s="56"/>
      <c r="H215" s="56"/>
      <c r="I215" s="56"/>
      <c r="J215" s="56">
        <v>0</v>
      </c>
      <c r="K215" s="56"/>
      <c r="L215" s="56"/>
      <c r="M215" s="61">
        <f t="shared" si="39"/>
        <v>0</v>
      </c>
      <c r="N215" s="56"/>
      <c r="O215" s="56"/>
      <c r="P215" s="56"/>
      <c r="Q215" s="56"/>
      <c r="R215" s="56"/>
      <c r="S215" s="61">
        <f>SUM(M215:R215)</f>
        <v>0</v>
      </c>
      <c r="T215" s="56"/>
      <c r="U215" s="63">
        <f>S215*G$305</f>
        <v>0</v>
      </c>
      <c r="V215" s="93" t="s">
        <v>60</v>
      </c>
      <c r="W215" s="64">
        <f>U215</f>
        <v>0</v>
      </c>
      <c r="Z215" s="279"/>
    </row>
    <row r="216" spans="1:26">
      <c r="A216" s="74"/>
      <c r="B216" s="75" t="s">
        <v>334</v>
      </c>
      <c r="E216" s="54" t="s">
        <v>192</v>
      </c>
      <c r="F216" s="84"/>
      <c r="G216" s="56"/>
      <c r="H216" s="56"/>
      <c r="I216" s="56"/>
      <c r="J216" s="56">
        <v>274359</v>
      </c>
      <c r="K216" s="56"/>
      <c r="L216" s="56"/>
      <c r="M216" s="61">
        <f t="shared" si="39"/>
        <v>274359</v>
      </c>
      <c r="N216" s="56"/>
      <c r="O216" s="56"/>
      <c r="P216" s="56"/>
      <c r="Q216" s="56"/>
      <c r="R216" s="56"/>
      <c r="S216" s="61">
        <f>SUM(M216:R216)</f>
        <v>274359</v>
      </c>
      <c r="T216" s="56"/>
      <c r="U216" s="63">
        <f>S216*G$305</f>
        <v>96025.65</v>
      </c>
      <c r="V216" s="93" t="s">
        <v>60</v>
      </c>
      <c r="W216" s="64">
        <f>U216</f>
        <v>96025.65</v>
      </c>
      <c r="Z216" s="279"/>
    </row>
    <row r="217" spans="1:26">
      <c r="A217" s="74"/>
      <c r="B217" s="75" t="s">
        <v>98</v>
      </c>
      <c r="F217" s="84"/>
      <c r="G217" s="56">
        <v>0</v>
      </c>
      <c r="H217" s="56">
        <v>0</v>
      </c>
      <c r="I217" s="56"/>
      <c r="J217" s="56">
        <v>0</v>
      </c>
      <c r="K217" s="56">
        <v>0</v>
      </c>
      <c r="L217" s="56">
        <v>0</v>
      </c>
      <c r="M217" s="61">
        <f t="shared" si="39"/>
        <v>0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61">
        <f>SUM(M217:R217)</f>
        <v>0</v>
      </c>
      <c r="T217" s="56"/>
      <c r="U217" s="63">
        <f t="shared" si="41"/>
        <v>0</v>
      </c>
      <c r="V217" s="93" t="s">
        <v>60</v>
      </c>
      <c r="W217" s="64">
        <f t="shared" si="42"/>
        <v>0</v>
      </c>
      <c r="Z217" s="279"/>
    </row>
    <row r="218" spans="1:26">
      <c r="A218" s="68" t="s">
        <v>336</v>
      </c>
      <c r="B218" s="68"/>
      <c r="C218" s="69"/>
      <c r="D218" s="69"/>
      <c r="E218" s="69"/>
      <c r="F218" s="70" t="s">
        <v>337</v>
      </c>
      <c r="G218" s="71">
        <f t="shared" ref="G218:S218" si="44">SUM(G207:G217)</f>
        <v>743742</v>
      </c>
      <c r="H218" s="71">
        <f t="shared" si="44"/>
        <v>144493</v>
      </c>
      <c r="I218" s="71">
        <f t="shared" si="44"/>
        <v>0</v>
      </c>
      <c r="J218" s="71">
        <f t="shared" si="44"/>
        <v>274359</v>
      </c>
      <c r="K218" s="71">
        <f t="shared" si="44"/>
        <v>0</v>
      </c>
      <c r="L218" s="71">
        <f t="shared" si="44"/>
        <v>0</v>
      </c>
      <c r="M218" s="71">
        <f t="shared" si="44"/>
        <v>1162594</v>
      </c>
      <c r="N218" s="71">
        <f t="shared" si="44"/>
        <v>0</v>
      </c>
      <c r="O218" s="71">
        <f t="shared" si="44"/>
        <v>0</v>
      </c>
      <c r="P218" s="71">
        <f t="shared" si="44"/>
        <v>0</v>
      </c>
      <c r="Q218" s="71">
        <f t="shared" si="44"/>
        <v>0</v>
      </c>
      <c r="R218" s="71">
        <f t="shared" si="44"/>
        <v>0</v>
      </c>
      <c r="S218" s="71">
        <f t="shared" si="44"/>
        <v>1162594</v>
      </c>
      <c r="T218" s="71"/>
      <c r="U218" s="71">
        <f>SUM(U207:U217)</f>
        <v>406907.9</v>
      </c>
      <c r="V218" s="71">
        <f>SUM(V207:V217)</f>
        <v>0</v>
      </c>
      <c r="W218" s="71">
        <f>SUM(W207:W217)</f>
        <v>406907.9</v>
      </c>
      <c r="Z218" s="279">
        <f t="shared" si="43"/>
        <v>0</v>
      </c>
    </row>
    <row r="219" spans="1:26">
      <c r="A219" s="18"/>
      <c r="B219" s="58"/>
      <c r="F219" s="84"/>
      <c r="G219" s="56"/>
      <c r="H219" s="56"/>
      <c r="I219" s="56"/>
      <c r="J219" s="56"/>
      <c r="K219" s="56"/>
      <c r="L219" s="56"/>
      <c r="M219" s="73" t="str">
        <f>IF(SUM(G218:L218)=M218,"CF","ERROR CF")</f>
        <v>CF</v>
      </c>
      <c r="N219" s="56"/>
      <c r="O219" s="56"/>
      <c r="P219" s="56"/>
      <c r="Q219" s="56"/>
      <c r="R219" s="56"/>
      <c r="S219" s="73" t="str">
        <f>IF(SUM(M218:R218)=S218,"CF","ERROR CF")</f>
        <v>CF</v>
      </c>
      <c r="T219" s="56"/>
      <c r="U219" s="322" t="s">
        <v>338</v>
      </c>
      <c r="V219" s="322"/>
      <c r="W219" s="322"/>
      <c r="Z219" s="279"/>
    </row>
    <row r="220" spans="1:26">
      <c r="A220" s="323" t="s">
        <v>8</v>
      </c>
      <c r="B220" s="323"/>
      <c r="C220" s="323"/>
      <c r="D220" s="323"/>
      <c r="E220" s="323"/>
      <c r="F220" s="84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64"/>
      <c r="Z220" s="279"/>
    </row>
    <row r="221" spans="1:26">
      <c r="A221" s="18">
        <v>64</v>
      </c>
      <c r="B221" s="58" t="s">
        <v>339</v>
      </c>
      <c r="D221" s="54" t="s">
        <v>76</v>
      </c>
      <c r="E221" s="54" t="s">
        <v>95</v>
      </c>
      <c r="F221" s="79" t="s">
        <v>340</v>
      </c>
      <c r="G221" s="61">
        <v>0</v>
      </c>
      <c r="H221" s="56">
        <v>0</v>
      </c>
      <c r="I221" s="56"/>
      <c r="J221" s="56">
        <v>0</v>
      </c>
      <c r="K221" s="56">
        <v>0</v>
      </c>
      <c r="L221" s="56">
        <v>0</v>
      </c>
      <c r="M221" s="61">
        <f t="shared" ref="M221:M228" si="45">SUM(G221:L221)</f>
        <v>0</v>
      </c>
      <c r="N221" s="56">
        <v>0</v>
      </c>
      <c r="O221" s="56">
        <v>0</v>
      </c>
      <c r="P221" s="58">
        <v>0</v>
      </c>
      <c r="Q221" s="58">
        <v>0</v>
      </c>
      <c r="R221" s="58">
        <v>0</v>
      </c>
      <c r="S221" s="61">
        <f t="shared" ref="S221:S228" si="46">SUM(M221:R221)</f>
        <v>0</v>
      </c>
      <c r="T221" s="56"/>
      <c r="U221" s="63">
        <f t="shared" ref="U221:U228" si="47">IF(S221&gt;0,S221*$G$308,0)</f>
        <v>0</v>
      </c>
      <c r="V221" s="56">
        <f t="shared" ref="V221:V228" si="48">IF(S221&lt;0,-S221*$G$308,0)</f>
        <v>0</v>
      </c>
      <c r="W221" s="64">
        <f t="shared" ref="W221:W228" si="49">U221-V221</f>
        <v>0</v>
      </c>
      <c r="Z221" s="279">
        <f>SUM(M221:R221)-S221</f>
        <v>0</v>
      </c>
    </row>
    <row r="222" spans="1:26">
      <c r="A222" s="74" t="s">
        <v>86</v>
      </c>
      <c r="B222" s="75" t="s">
        <v>341</v>
      </c>
      <c r="E222" s="54" t="s">
        <v>95</v>
      </c>
      <c r="F222" s="84"/>
      <c r="G222" s="61">
        <v>1073459.9797641677</v>
      </c>
      <c r="H222" s="56">
        <v>0</v>
      </c>
      <c r="I222" s="56"/>
      <c r="J222" s="56">
        <f>-74928/G308</f>
        <v>-192616.96658097688</v>
      </c>
      <c r="K222" s="56">
        <v>0</v>
      </c>
      <c r="L222" s="56">
        <v>0</v>
      </c>
      <c r="M222" s="61">
        <f t="shared" si="45"/>
        <v>880843.01318319084</v>
      </c>
      <c r="N222" s="56">
        <v>0</v>
      </c>
      <c r="O222" s="56">
        <v>0</v>
      </c>
      <c r="P222" s="58">
        <v>0</v>
      </c>
      <c r="Q222" s="58">
        <v>0</v>
      </c>
      <c r="R222" s="58">
        <v>0</v>
      </c>
      <c r="S222" s="61">
        <f t="shared" si="46"/>
        <v>880843.01318319084</v>
      </c>
      <c r="T222" s="56"/>
      <c r="U222" s="63">
        <f t="shared" si="47"/>
        <v>342647.93212826119</v>
      </c>
      <c r="V222" s="56">
        <f t="shared" si="48"/>
        <v>0</v>
      </c>
      <c r="W222" s="64">
        <f t="shared" si="49"/>
        <v>342647.93212826119</v>
      </c>
      <c r="Z222" s="279">
        <f>SUM(M222:R222)-S222</f>
        <v>0</v>
      </c>
    </row>
    <row r="223" spans="1:26">
      <c r="A223" s="74" t="s">
        <v>86</v>
      </c>
      <c r="B223" s="75" t="s">
        <v>342</v>
      </c>
      <c r="D223" s="54" t="s">
        <v>343</v>
      </c>
      <c r="E223" s="54" t="s">
        <v>192</v>
      </c>
      <c r="F223" s="84"/>
      <c r="G223" s="61">
        <v>0</v>
      </c>
      <c r="H223" s="56">
        <v>0</v>
      </c>
      <c r="I223" s="56"/>
      <c r="J223" s="56">
        <v>0</v>
      </c>
      <c r="K223" s="56">
        <v>0</v>
      </c>
      <c r="L223" s="56">
        <v>0</v>
      </c>
      <c r="M223" s="61">
        <f t="shared" si="45"/>
        <v>0</v>
      </c>
      <c r="N223" s="56">
        <v>0</v>
      </c>
      <c r="O223" s="56">
        <v>0</v>
      </c>
      <c r="P223" s="58">
        <v>0</v>
      </c>
      <c r="Q223" s="58">
        <v>0</v>
      </c>
      <c r="R223" s="58">
        <v>0</v>
      </c>
      <c r="S223" s="61">
        <f t="shared" si="46"/>
        <v>0</v>
      </c>
      <c r="T223" s="56"/>
      <c r="U223" s="63">
        <f t="shared" si="47"/>
        <v>0</v>
      </c>
      <c r="V223" s="56">
        <f t="shared" si="48"/>
        <v>0</v>
      </c>
      <c r="W223" s="64">
        <f t="shared" si="49"/>
        <v>0</v>
      </c>
      <c r="Z223" s="279">
        <f>SUM(M223:R223)-S223</f>
        <v>0</v>
      </c>
    </row>
    <row r="224" spans="1:26">
      <c r="A224" s="74" t="s">
        <v>86</v>
      </c>
      <c r="B224" s="75" t="s">
        <v>344</v>
      </c>
      <c r="D224" s="54" t="s">
        <v>345</v>
      </c>
      <c r="E224" s="54" t="s">
        <v>345</v>
      </c>
      <c r="F224" s="84"/>
      <c r="G224" s="61">
        <v>0</v>
      </c>
      <c r="H224" s="56">
        <v>0</v>
      </c>
      <c r="I224" s="56"/>
      <c r="J224" s="56">
        <v>0</v>
      </c>
      <c r="K224" s="56">
        <v>0</v>
      </c>
      <c r="L224" s="56">
        <v>0</v>
      </c>
      <c r="M224" s="61">
        <f t="shared" si="45"/>
        <v>0</v>
      </c>
      <c r="N224" s="56">
        <v>0</v>
      </c>
      <c r="O224" s="56">
        <v>0</v>
      </c>
      <c r="P224" s="58">
        <v>0</v>
      </c>
      <c r="Q224" s="58">
        <v>0</v>
      </c>
      <c r="R224" s="58">
        <v>0</v>
      </c>
      <c r="S224" s="61">
        <f t="shared" si="46"/>
        <v>0</v>
      </c>
      <c r="T224" s="56"/>
      <c r="U224" s="63">
        <f t="shared" si="47"/>
        <v>0</v>
      </c>
      <c r="V224" s="56">
        <f t="shared" si="48"/>
        <v>0</v>
      </c>
      <c r="W224" s="64">
        <f t="shared" si="49"/>
        <v>0</v>
      </c>
      <c r="Z224" s="279">
        <f>SUM(M224:R224)-S224</f>
        <v>0</v>
      </c>
    </row>
    <row r="225" spans="1:26">
      <c r="A225" s="74"/>
      <c r="B225" s="75" t="s">
        <v>346</v>
      </c>
      <c r="E225" s="54" t="s">
        <v>347</v>
      </c>
      <c r="F225" s="84"/>
      <c r="G225" s="61">
        <v>0</v>
      </c>
      <c r="H225" s="56">
        <v>0</v>
      </c>
      <c r="I225" s="56"/>
      <c r="J225" s="56">
        <v>0</v>
      </c>
      <c r="K225" s="56">
        <v>0</v>
      </c>
      <c r="L225" s="56">
        <v>0</v>
      </c>
      <c r="M225" s="61">
        <f t="shared" si="45"/>
        <v>0</v>
      </c>
      <c r="N225" s="56">
        <v>0</v>
      </c>
      <c r="O225" s="56">
        <v>0</v>
      </c>
      <c r="P225" s="58">
        <v>0</v>
      </c>
      <c r="Q225" s="58">
        <v>0</v>
      </c>
      <c r="R225" s="58">
        <v>0</v>
      </c>
      <c r="S225" s="61">
        <f t="shared" si="46"/>
        <v>0</v>
      </c>
      <c r="T225" s="56"/>
      <c r="U225" s="63">
        <f t="shared" si="47"/>
        <v>0</v>
      </c>
      <c r="V225" s="56">
        <f t="shared" si="48"/>
        <v>0</v>
      </c>
      <c r="W225" s="64">
        <f t="shared" si="49"/>
        <v>0</v>
      </c>
      <c r="Z225" s="279"/>
    </row>
    <row r="226" spans="1:26">
      <c r="A226" s="74"/>
      <c r="B226" s="75" t="s">
        <v>348</v>
      </c>
      <c r="E226" s="54" t="s">
        <v>345</v>
      </c>
      <c r="F226" s="84"/>
      <c r="G226" s="61">
        <v>0</v>
      </c>
      <c r="H226" s="56">
        <v>0</v>
      </c>
      <c r="I226" s="56"/>
      <c r="J226" s="56">
        <v>0</v>
      </c>
      <c r="K226" s="56">
        <v>0</v>
      </c>
      <c r="L226" s="56">
        <v>0</v>
      </c>
      <c r="M226" s="61">
        <f t="shared" si="45"/>
        <v>0</v>
      </c>
      <c r="N226" s="56">
        <f>-N225</f>
        <v>0</v>
      </c>
      <c r="O226" s="56">
        <v>0</v>
      </c>
      <c r="P226" s="58">
        <v>0</v>
      </c>
      <c r="Q226" s="58">
        <v>0</v>
      </c>
      <c r="R226" s="58">
        <v>0</v>
      </c>
      <c r="S226" s="61">
        <f t="shared" si="46"/>
        <v>0</v>
      </c>
      <c r="T226" s="56"/>
      <c r="U226" s="63">
        <f t="shared" si="47"/>
        <v>0</v>
      </c>
      <c r="V226" s="56">
        <f t="shared" si="48"/>
        <v>0</v>
      </c>
      <c r="W226" s="64">
        <f t="shared" si="49"/>
        <v>0</v>
      </c>
      <c r="Z226" s="279"/>
    </row>
    <row r="227" spans="1:26">
      <c r="A227" s="74"/>
      <c r="B227" s="75" t="s">
        <v>8</v>
      </c>
      <c r="E227" s="54" t="s">
        <v>192</v>
      </c>
      <c r="F227" s="84"/>
      <c r="G227" s="61">
        <v>0</v>
      </c>
      <c r="H227" s="56">
        <v>0</v>
      </c>
      <c r="I227" s="56"/>
      <c r="J227" s="56">
        <v>0</v>
      </c>
      <c r="K227" s="56">
        <v>0</v>
      </c>
      <c r="L227" s="56">
        <v>0</v>
      </c>
      <c r="M227" s="61">
        <f t="shared" si="45"/>
        <v>0</v>
      </c>
      <c r="N227" s="56">
        <v>0</v>
      </c>
      <c r="O227" s="56">
        <v>0</v>
      </c>
      <c r="P227" s="58">
        <v>0</v>
      </c>
      <c r="Q227" s="58">
        <v>0</v>
      </c>
      <c r="R227" s="58">
        <v>0</v>
      </c>
      <c r="S227" s="61">
        <f t="shared" si="46"/>
        <v>0</v>
      </c>
      <c r="T227" s="56"/>
      <c r="U227" s="63">
        <f t="shared" si="47"/>
        <v>0</v>
      </c>
      <c r="V227" s="56">
        <f t="shared" si="48"/>
        <v>0</v>
      </c>
      <c r="W227" s="64">
        <f t="shared" si="49"/>
        <v>0</v>
      </c>
      <c r="Z227" s="279"/>
    </row>
    <row r="228" spans="1:26">
      <c r="A228" s="74"/>
      <c r="B228" s="75" t="s">
        <v>98</v>
      </c>
      <c r="F228" s="84"/>
      <c r="G228" s="61">
        <v>0</v>
      </c>
      <c r="H228" s="56">
        <v>0</v>
      </c>
      <c r="I228" s="56"/>
      <c r="J228" s="56">
        <v>0</v>
      </c>
      <c r="K228" s="56">
        <v>0</v>
      </c>
      <c r="L228" s="56">
        <v>0</v>
      </c>
      <c r="M228" s="61">
        <f t="shared" si="45"/>
        <v>0</v>
      </c>
      <c r="N228" s="56">
        <v>0</v>
      </c>
      <c r="O228" s="56">
        <v>0</v>
      </c>
      <c r="P228" s="58">
        <v>0</v>
      </c>
      <c r="Q228" s="58">
        <v>0</v>
      </c>
      <c r="R228" s="58">
        <v>0</v>
      </c>
      <c r="S228" s="61">
        <f t="shared" si="46"/>
        <v>0</v>
      </c>
      <c r="T228" s="56"/>
      <c r="U228" s="63">
        <f t="shared" si="47"/>
        <v>0</v>
      </c>
      <c r="V228" s="56">
        <f t="shared" si="48"/>
        <v>0</v>
      </c>
      <c r="W228" s="64">
        <f t="shared" si="49"/>
        <v>0</v>
      </c>
      <c r="Z228" s="279"/>
    </row>
    <row r="229" spans="1:26">
      <c r="A229" s="68" t="s">
        <v>349</v>
      </c>
      <c r="B229" s="68"/>
      <c r="C229" s="69"/>
      <c r="D229" s="69"/>
      <c r="E229" s="69"/>
      <c r="F229" s="70" t="s">
        <v>350</v>
      </c>
      <c r="G229" s="71">
        <f t="shared" ref="G229:S229" si="50">SUM(G220:G228)</f>
        <v>1073459.9797641677</v>
      </c>
      <c r="H229" s="71">
        <f t="shared" si="50"/>
        <v>0</v>
      </c>
      <c r="I229" s="71">
        <f t="shared" si="50"/>
        <v>0</v>
      </c>
      <c r="J229" s="71">
        <f t="shared" si="50"/>
        <v>-192616.96658097688</v>
      </c>
      <c r="K229" s="71">
        <f t="shared" si="50"/>
        <v>0</v>
      </c>
      <c r="L229" s="71">
        <f t="shared" si="50"/>
        <v>0</v>
      </c>
      <c r="M229" s="71">
        <f t="shared" si="50"/>
        <v>880843.01318319084</v>
      </c>
      <c r="N229" s="71">
        <f t="shared" si="50"/>
        <v>0</v>
      </c>
      <c r="O229" s="71">
        <f t="shared" si="50"/>
        <v>0</v>
      </c>
      <c r="P229" s="71">
        <f t="shared" si="50"/>
        <v>0</v>
      </c>
      <c r="Q229" s="71">
        <f t="shared" si="50"/>
        <v>0</v>
      </c>
      <c r="R229" s="71">
        <f t="shared" si="50"/>
        <v>0</v>
      </c>
      <c r="S229" s="71">
        <f t="shared" si="50"/>
        <v>880843.01318319084</v>
      </c>
      <c r="T229" s="71"/>
      <c r="U229" s="71">
        <f>SUM(U220:U228)</f>
        <v>342647.93212826119</v>
      </c>
      <c r="V229" s="71">
        <f>SUM(V220:V228)</f>
        <v>0</v>
      </c>
      <c r="W229" s="71">
        <f>SUM(W220:W228)</f>
        <v>342647.93212826119</v>
      </c>
      <c r="Z229" s="279">
        <f>SUM(M229:R229)-S229</f>
        <v>0</v>
      </c>
    </row>
    <row r="230" spans="1:26">
      <c r="A230" s="74"/>
      <c r="B230" s="75"/>
      <c r="F230" s="84"/>
      <c r="G230" s="56"/>
      <c r="H230" s="56"/>
      <c r="I230" s="56"/>
      <c r="J230" s="56"/>
      <c r="K230" s="56"/>
      <c r="L230" s="56"/>
      <c r="M230" s="73" t="str">
        <f>IF(SUM(G229:L229)=M229,"CF","ERROR CF")</f>
        <v>CF</v>
      </c>
      <c r="N230" s="56"/>
      <c r="O230" s="56"/>
      <c r="P230" s="56"/>
      <c r="Q230" s="56"/>
      <c r="R230" s="56"/>
      <c r="S230" s="73" t="str">
        <f>IF(SUM(M229:R229)=S229,"CF","ERROR CF")</f>
        <v>CF</v>
      </c>
      <c r="T230" s="56"/>
      <c r="U230" s="56"/>
      <c r="V230" s="56"/>
      <c r="W230" s="64"/>
      <c r="Z230" s="279"/>
    </row>
    <row r="231" spans="1:26">
      <c r="A231" s="323" t="s">
        <v>351</v>
      </c>
      <c r="B231" s="323"/>
      <c r="C231" s="323"/>
      <c r="D231" s="323"/>
      <c r="E231" s="323"/>
      <c r="F231" s="8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64"/>
      <c r="Z231" s="279"/>
    </row>
    <row r="232" spans="1:26">
      <c r="A232" s="74" t="s">
        <v>86</v>
      </c>
      <c r="B232" s="75" t="s">
        <v>352</v>
      </c>
      <c r="D232" s="54" t="s">
        <v>324</v>
      </c>
      <c r="E232" s="54" t="s">
        <v>353</v>
      </c>
      <c r="F232" s="79" t="s">
        <v>354</v>
      </c>
      <c r="G232" s="61">
        <v>0</v>
      </c>
      <c r="H232" s="56">
        <v>0</v>
      </c>
      <c r="I232" s="56"/>
      <c r="J232" s="56">
        <v>0</v>
      </c>
      <c r="K232" s="56">
        <v>0</v>
      </c>
      <c r="L232" s="56">
        <v>0</v>
      </c>
      <c r="M232" s="61">
        <f t="shared" ref="M232:M239" si="51">SUM(G232:L232)</f>
        <v>0</v>
      </c>
      <c r="N232" s="288">
        <f>IF(HLOOKUP($E$3,'[2]Current Provision - HYP'!$E$7:$CE$205,'[2]Current Provision - HYP'!$DI$155-6,FALSE)=0,0,(IF(ISNA(HLOOKUP($E$3,'[2]Current Provision - HYP'!$E$7:$CE$205,'[2]Current Provision - HYP'!$DI$155-6,FALSE))=TRUE,0,HLOOKUP($E$3,'[2]Current Provision - HYP'!$E$7:$CE$205,'[2]Current Provision - HYP'!$DI$155-6,FALSE)))/(IF(ISNA(HLOOKUP($E$3,'[2]Current Provision - HYP'!$E$7:$CE$205,'[2]Current Provision - HYP'!$DI$150-6,FALSE))=TRUE,0,HLOOKUP($E$3,'[2]Current Provision - HYP'!$E$7:$CE$205,'[2]Current Provision - HYP'!$DI$150-6,FALSE))))*0</f>
        <v>0</v>
      </c>
      <c r="O232" s="56">
        <v>0</v>
      </c>
      <c r="P232" s="58">
        <v>0</v>
      </c>
      <c r="Q232" s="58">
        <v>0</v>
      </c>
      <c r="R232" s="58">
        <v>0</v>
      </c>
      <c r="S232" s="61">
        <f t="shared" ref="S232:S239" si="52">SUM(M232:R232)</f>
        <v>0</v>
      </c>
      <c r="T232" s="56"/>
      <c r="U232" s="63">
        <f t="shared" ref="U232:U239" si="53">S232*G$306*(1-G$305)</f>
        <v>0</v>
      </c>
      <c r="V232" s="93" t="s">
        <v>60</v>
      </c>
      <c r="W232" s="64">
        <f t="shared" ref="W232:W239" si="54">U232</f>
        <v>0</v>
      </c>
      <c r="Z232" s="279">
        <f>SUM(M232:R232)-S232</f>
        <v>0</v>
      </c>
    </row>
    <row r="233" spans="1:26">
      <c r="A233" s="74" t="s">
        <v>86</v>
      </c>
      <c r="B233" s="75" t="s">
        <v>355</v>
      </c>
      <c r="D233" s="54" t="s">
        <v>324</v>
      </c>
      <c r="E233" s="54" t="s">
        <v>356</v>
      </c>
      <c r="F233" s="84"/>
      <c r="G233" s="61">
        <v>165135</v>
      </c>
      <c r="H233" s="56">
        <v>0</v>
      </c>
      <c r="I233" s="56"/>
      <c r="J233" s="56">
        <v>0</v>
      </c>
      <c r="K233" s="56">
        <v>0</v>
      </c>
      <c r="L233" s="56">
        <v>0</v>
      </c>
      <c r="M233" s="61">
        <f t="shared" si="51"/>
        <v>165135</v>
      </c>
      <c r="N233" s="56">
        <v>0</v>
      </c>
      <c r="O233" s="56">
        <v>0</v>
      </c>
      <c r="P233" s="58">
        <v>0</v>
      </c>
      <c r="Q233" s="58">
        <v>0</v>
      </c>
      <c r="R233" s="58">
        <v>0</v>
      </c>
      <c r="S233" s="61">
        <f t="shared" si="52"/>
        <v>165135</v>
      </c>
      <c r="T233" s="56"/>
      <c r="U233" s="63">
        <f t="shared" si="53"/>
        <v>6440.2650000000003</v>
      </c>
      <c r="V233" s="93" t="s">
        <v>60</v>
      </c>
      <c r="W233" s="64">
        <f t="shared" si="54"/>
        <v>6440.2650000000003</v>
      </c>
      <c r="Z233" s="279">
        <f>SUM(M233:R233)-S233</f>
        <v>0</v>
      </c>
    </row>
    <row r="234" spans="1:26">
      <c r="A234" s="74" t="s">
        <v>86</v>
      </c>
      <c r="B234" s="75" t="s">
        <v>357</v>
      </c>
      <c r="D234" s="54" t="s">
        <v>93</v>
      </c>
      <c r="E234" s="54" t="s">
        <v>358</v>
      </c>
      <c r="F234" s="84"/>
      <c r="G234" s="61">
        <v>20908496.825872302</v>
      </c>
      <c r="H234" s="56">
        <v>-3284249</v>
      </c>
      <c r="I234" s="56"/>
      <c r="J234" s="56">
        <v>0</v>
      </c>
      <c r="K234" s="56">
        <v>0</v>
      </c>
      <c r="L234" s="56">
        <v>0</v>
      </c>
      <c r="M234" s="61">
        <f t="shared" si="51"/>
        <v>17624247.825872302</v>
      </c>
      <c r="N234" s="56">
        <f>(IF(ISNA(HLOOKUP($E$3,'[2]Current Provision - HYP'!$E$7:$BQ$205,'[2]Current Provision - HYP'!$DI$141-6,FALSE))=TRUE,0,HLOOKUP($E$3,'[2]Current Provision - HYP'!$E$7:$BQ$205,'[2]Current Provision - HYP'!$DI$141-6,FALSE)))</f>
        <v>114840298.37713993</v>
      </c>
      <c r="O234" s="56">
        <v>0</v>
      </c>
      <c r="P234" s="58">
        <v>0</v>
      </c>
      <c r="Q234" s="58">
        <v>0</v>
      </c>
      <c r="R234" s="58">
        <v>0</v>
      </c>
      <c r="S234" s="61">
        <f t="shared" si="52"/>
        <v>132464546.20301223</v>
      </c>
      <c r="T234" s="56"/>
      <c r="U234" s="63">
        <f t="shared" si="53"/>
        <v>5166117.3019174766</v>
      </c>
      <c r="V234" s="93" t="s">
        <v>60</v>
      </c>
      <c r="W234" s="64">
        <f t="shared" si="54"/>
        <v>5166117.3019174766</v>
      </c>
      <c r="Z234" s="279">
        <f>SUM(M234:R234)-S234</f>
        <v>0</v>
      </c>
    </row>
    <row r="235" spans="1:26">
      <c r="A235" s="74" t="s">
        <v>86</v>
      </c>
      <c r="B235" s="75" t="s">
        <v>8</v>
      </c>
      <c r="D235" s="54" t="s">
        <v>324</v>
      </c>
      <c r="E235" s="54" t="s">
        <v>359</v>
      </c>
      <c r="F235" s="84"/>
      <c r="G235" s="61">
        <v>0</v>
      </c>
      <c r="H235" s="56">
        <v>0</v>
      </c>
      <c r="I235" s="56"/>
      <c r="J235" s="56">
        <v>0</v>
      </c>
      <c r="K235" s="56">
        <v>0</v>
      </c>
      <c r="L235" s="56">
        <v>0</v>
      </c>
      <c r="M235" s="61">
        <f t="shared" si="51"/>
        <v>0</v>
      </c>
      <c r="N235" s="56">
        <v>0</v>
      </c>
      <c r="O235" s="56">
        <v>0</v>
      </c>
      <c r="P235" s="58">
        <v>0</v>
      </c>
      <c r="Q235" s="58">
        <v>0</v>
      </c>
      <c r="R235" s="58">
        <v>0</v>
      </c>
      <c r="S235" s="61">
        <f t="shared" si="52"/>
        <v>0</v>
      </c>
      <c r="T235" s="56"/>
      <c r="U235" s="63">
        <f t="shared" si="53"/>
        <v>0</v>
      </c>
      <c r="V235" s="93" t="s">
        <v>60</v>
      </c>
      <c r="W235" s="64">
        <f t="shared" si="54"/>
        <v>0</v>
      </c>
      <c r="Z235" s="279">
        <f>SUM(M235:R235)-S235</f>
        <v>0</v>
      </c>
    </row>
    <row r="236" spans="1:26">
      <c r="A236" s="74"/>
      <c r="B236" s="75" t="s">
        <v>360</v>
      </c>
      <c r="E236" s="54" t="s">
        <v>358</v>
      </c>
      <c r="F236" s="84"/>
      <c r="G236" s="61">
        <v>0</v>
      </c>
      <c r="H236" s="56">
        <v>0</v>
      </c>
      <c r="I236" s="56"/>
      <c r="J236" s="56">
        <v>0</v>
      </c>
      <c r="K236" s="56">
        <v>0</v>
      </c>
      <c r="L236" s="56">
        <v>0</v>
      </c>
      <c r="M236" s="61">
        <f t="shared" si="51"/>
        <v>0</v>
      </c>
      <c r="N236" s="56">
        <v>0</v>
      </c>
      <c r="O236" s="56">
        <v>0</v>
      </c>
      <c r="P236" s="58">
        <v>0</v>
      </c>
      <c r="Q236" s="58">
        <v>0</v>
      </c>
      <c r="R236" s="58">
        <v>0</v>
      </c>
      <c r="S236" s="61">
        <f t="shared" si="52"/>
        <v>0</v>
      </c>
      <c r="T236" s="56"/>
      <c r="U236" s="63">
        <f t="shared" si="53"/>
        <v>0</v>
      </c>
      <c r="V236" s="93" t="s">
        <v>60</v>
      </c>
      <c r="W236" s="64">
        <f t="shared" si="54"/>
        <v>0</v>
      </c>
      <c r="Z236" s="279"/>
    </row>
    <row r="237" spans="1:26">
      <c r="A237" s="74"/>
      <c r="B237" s="75" t="s">
        <v>361</v>
      </c>
      <c r="E237" s="54" t="s">
        <v>359</v>
      </c>
      <c r="F237" s="84"/>
      <c r="G237" s="61">
        <v>0</v>
      </c>
      <c r="H237" s="56">
        <v>0</v>
      </c>
      <c r="I237" s="56"/>
      <c r="J237" s="56">
        <v>0</v>
      </c>
      <c r="K237" s="56">
        <v>0</v>
      </c>
      <c r="L237" s="56">
        <v>0</v>
      </c>
      <c r="M237" s="61">
        <f t="shared" si="51"/>
        <v>0</v>
      </c>
      <c r="N237" s="56">
        <v>0</v>
      </c>
      <c r="O237" s="56">
        <v>0</v>
      </c>
      <c r="P237" s="58">
        <v>0</v>
      </c>
      <c r="Q237" s="58">
        <v>0</v>
      </c>
      <c r="R237" s="58">
        <v>0</v>
      </c>
      <c r="S237" s="61">
        <f t="shared" si="52"/>
        <v>0</v>
      </c>
      <c r="T237" s="56"/>
      <c r="U237" s="63">
        <f t="shared" si="53"/>
        <v>0</v>
      </c>
      <c r="V237" s="93" t="s">
        <v>60</v>
      </c>
      <c r="W237" s="64">
        <f t="shared" si="54"/>
        <v>0</v>
      </c>
      <c r="Z237" s="279"/>
    </row>
    <row r="238" spans="1:26">
      <c r="A238" s="74"/>
      <c r="B238" s="75" t="s">
        <v>362</v>
      </c>
      <c r="E238" s="54" t="s">
        <v>353</v>
      </c>
      <c r="F238" s="84"/>
      <c r="G238" s="61">
        <v>0</v>
      </c>
      <c r="H238" s="56">
        <v>0</v>
      </c>
      <c r="I238" s="56"/>
      <c r="J238" s="56">
        <v>0</v>
      </c>
      <c r="K238" s="56">
        <v>0</v>
      </c>
      <c r="L238" s="56">
        <v>0</v>
      </c>
      <c r="M238" s="61">
        <f t="shared" si="51"/>
        <v>0</v>
      </c>
      <c r="N238" s="56">
        <v>0</v>
      </c>
      <c r="O238" s="56">
        <v>0</v>
      </c>
      <c r="P238" s="58">
        <v>0</v>
      </c>
      <c r="Q238" s="58">
        <v>0</v>
      </c>
      <c r="R238" s="58">
        <v>0</v>
      </c>
      <c r="S238" s="61">
        <f t="shared" si="52"/>
        <v>0</v>
      </c>
      <c r="T238" s="56"/>
      <c r="U238" s="63">
        <f t="shared" si="53"/>
        <v>0</v>
      </c>
      <c r="V238" s="93" t="s">
        <v>60</v>
      </c>
      <c r="W238" s="64">
        <f t="shared" si="54"/>
        <v>0</v>
      </c>
      <c r="Z238" s="279"/>
    </row>
    <row r="239" spans="1:26">
      <c r="A239" s="74"/>
      <c r="B239" s="75" t="s">
        <v>98</v>
      </c>
      <c r="F239" s="84"/>
      <c r="G239" s="61">
        <v>0</v>
      </c>
      <c r="H239" s="56">
        <v>0</v>
      </c>
      <c r="I239" s="56"/>
      <c r="J239" s="56">
        <v>0</v>
      </c>
      <c r="K239" s="56">
        <v>0</v>
      </c>
      <c r="L239" s="56">
        <v>0</v>
      </c>
      <c r="M239" s="61">
        <f t="shared" si="51"/>
        <v>0</v>
      </c>
      <c r="N239" s="56">
        <v>0</v>
      </c>
      <c r="O239" s="56">
        <v>0</v>
      </c>
      <c r="P239" s="58">
        <v>0</v>
      </c>
      <c r="Q239" s="58">
        <v>0</v>
      </c>
      <c r="R239" s="58">
        <v>0</v>
      </c>
      <c r="S239" s="61">
        <f t="shared" si="52"/>
        <v>0</v>
      </c>
      <c r="T239" s="56"/>
      <c r="U239" s="63">
        <f t="shared" si="53"/>
        <v>0</v>
      </c>
      <c r="V239" s="93" t="s">
        <v>60</v>
      </c>
      <c r="W239" s="64">
        <f t="shared" si="54"/>
        <v>0</v>
      </c>
      <c r="Z239" s="279"/>
    </row>
    <row r="240" spans="1:26">
      <c r="A240" s="68" t="s">
        <v>349</v>
      </c>
      <c r="B240" s="68"/>
      <c r="C240" s="69"/>
      <c r="D240" s="69"/>
      <c r="E240" s="69"/>
      <c r="F240" s="70" t="s">
        <v>363</v>
      </c>
      <c r="G240" s="71">
        <f>SUM(G231:G239)</f>
        <v>21073631.825872302</v>
      </c>
      <c r="H240" s="71">
        <f t="shared" ref="H240:S240" si="55">SUM(H231:H239)</f>
        <v>-3284249</v>
      </c>
      <c r="I240" s="71">
        <f t="shared" si="55"/>
        <v>0</v>
      </c>
      <c r="J240" s="71">
        <f t="shared" si="55"/>
        <v>0</v>
      </c>
      <c r="K240" s="71">
        <f t="shared" si="55"/>
        <v>0</v>
      </c>
      <c r="L240" s="71">
        <f t="shared" si="55"/>
        <v>0</v>
      </c>
      <c r="M240" s="71">
        <f t="shared" si="55"/>
        <v>17789382.825872302</v>
      </c>
      <c r="N240" s="71">
        <f t="shared" si="55"/>
        <v>114840298.37713993</v>
      </c>
      <c r="O240" s="71">
        <f t="shared" si="55"/>
        <v>0</v>
      </c>
      <c r="P240" s="71">
        <f t="shared" si="55"/>
        <v>0</v>
      </c>
      <c r="Q240" s="71">
        <f t="shared" si="55"/>
        <v>0</v>
      </c>
      <c r="R240" s="71">
        <f t="shared" si="55"/>
        <v>0</v>
      </c>
      <c r="S240" s="71">
        <f t="shared" si="55"/>
        <v>132629681.20301223</v>
      </c>
      <c r="T240" s="71"/>
      <c r="U240" s="71">
        <f>SUM(U231:U239)</f>
        <v>5172557.5669174762</v>
      </c>
      <c r="V240" s="71">
        <f>SUM(V231:V239)</f>
        <v>0</v>
      </c>
      <c r="W240" s="71">
        <f>SUM(W231:W239)</f>
        <v>5172557.5669174762</v>
      </c>
      <c r="Z240" s="279">
        <f>SUM(M240:R240)-S240</f>
        <v>0</v>
      </c>
    </row>
    <row r="241" spans="1:26">
      <c r="A241" s="59"/>
      <c r="B241" s="59"/>
      <c r="C241" s="65"/>
      <c r="D241" s="65"/>
      <c r="E241" s="65"/>
      <c r="F241" s="66"/>
      <c r="G241" s="56"/>
      <c r="H241" s="56"/>
      <c r="I241" s="56"/>
      <c r="J241" s="56"/>
      <c r="K241" s="56"/>
      <c r="L241" s="56"/>
      <c r="M241" s="73" t="str">
        <f>IF(SUM(G240:L240)=M240,"CF","ERROR CF")</f>
        <v>CF</v>
      </c>
      <c r="N241" s="56"/>
      <c r="O241" s="56"/>
      <c r="P241" s="56"/>
      <c r="Q241" s="56"/>
      <c r="R241" s="56"/>
      <c r="S241" s="73" t="str">
        <f>IF(SUM(M240:R240)=S240,"CF","ERROR CF")</f>
        <v>CF</v>
      </c>
      <c r="T241" s="56"/>
      <c r="U241" s="322" t="s">
        <v>364</v>
      </c>
      <c r="V241" s="322"/>
      <c r="W241" s="322"/>
      <c r="X241" s="279"/>
      <c r="Y241" s="94"/>
      <c r="Z241" s="279"/>
    </row>
    <row r="242" spans="1:26">
      <c r="A242" s="59"/>
      <c r="B242" s="59"/>
      <c r="C242" s="65"/>
      <c r="D242" s="65"/>
      <c r="E242" s="65"/>
      <c r="F242" s="6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64"/>
      <c r="Z242" s="279"/>
    </row>
    <row r="243" spans="1:26">
      <c r="A243" s="323" t="s">
        <v>365</v>
      </c>
      <c r="B243" s="323"/>
      <c r="C243" s="323"/>
      <c r="D243" s="323"/>
      <c r="E243" s="323"/>
      <c r="F243" s="66"/>
      <c r="G243" s="56"/>
      <c r="H243" s="56"/>
      <c r="I243" s="56"/>
      <c r="J243" s="56"/>
      <c r="K243" s="56"/>
      <c r="L243" s="56"/>
      <c r="N243" s="56"/>
      <c r="O243" s="56"/>
      <c r="P243" s="56"/>
      <c r="Q243" s="56"/>
      <c r="R243" s="56"/>
      <c r="T243" s="56"/>
      <c r="U243" s="56"/>
      <c r="V243" s="56"/>
      <c r="W243" s="64"/>
      <c r="Z243" s="279"/>
    </row>
    <row r="244" spans="1:26">
      <c r="A244" s="59" t="s">
        <v>366</v>
      </c>
      <c r="B244" s="59"/>
      <c r="C244" s="65"/>
      <c r="D244" s="65"/>
      <c r="E244" s="65"/>
      <c r="F244" s="66" t="s">
        <v>367</v>
      </c>
      <c r="G244" s="95">
        <f t="shared" ref="G244:S244" si="56">G32+G175+G195+G204+G229+G240</f>
        <v>-103901725.43080175</v>
      </c>
      <c r="H244" s="61">
        <f t="shared" si="56"/>
        <v>1093239.8237276841</v>
      </c>
      <c r="I244" s="61">
        <f t="shared" si="56"/>
        <v>0</v>
      </c>
      <c r="J244" s="61">
        <f t="shared" si="56"/>
        <v>2389976.0334190233</v>
      </c>
      <c r="K244" s="61">
        <f t="shared" si="56"/>
        <v>0</v>
      </c>
      <c r="L244" s="61">
        <f t="shared" si="56"/>
        <v>0</v>
      </c>
      <c r="M244" s="61">
        <f t="shared" si="56"/>
        <v>-100418509.57365502</v>
      </c>
      <c r="N244" s="61">
        <f t="shared" si="56"/>
        <v>-10393570.035553679</v>
      </c>
      <c r="O244" s="61">
        <f t="shared" si="56"/>
        <v>254790.81</v>
      </c>
      <c r="P244" s="61">
        <f t="shared" si="56"/>
        <v>-84797.04</v>
      </c>
      <c r="Q244" s="61">
        <f t="shared" si="56"/>
        <v>0</v>
      </c>
      <c r="R244" s="61">
        <f t="shared" si="56"/>
        <v>0</v>
      </c>
      <c r="S244" s="61">
        <f t="shared" si="56"/>
        <v>-110642085.83920878</v>
      </c>
      <c r="T244" s="56"/>
      <c r="U244" s="56"/>
      <c r="V244" s="56"/>
      <c r="W244" s="64"/>
      <c r="Z244" s="279">
        <f>SUM(M244:R244)-S244</f>
        <v>0</v>
      </c>
    </row>
    <row r="245" spans="1:26">
      <c r="A245" s="59" t="s">
        <v>368</v>
      </c>
      <c r="B245" s="59"/>
      <c r="C245" s="65"/>
      <c r="D245" s="65"/>
      <c r="E245" s="65"/>
      <c r="F245" s="66" t="s">
        <v>369</v>
      </c>
      <c r="G245" s="96">
        <f>$H306</f>
        <v>0.06</v>
      </c>
      <c r="H245" s="97">
        <f>$H306</f>
        <v>0.06</v>
      </c>
      <c r="I245" s="97">
        <f>I306</f>
        <v>0</v>
      </c>
      <c r="J245" s="97">
        <f>$H306</f>
        <v>0.06</v>
      </c>
      <c r="K245" s="97">
        <f t="shared" ref="K245:S245" si="57">$G306</f>
        <v>0.06</v>
      </c>
      <c r="L245" s="97">
        <f t="shared" si="57"/>
        <v>0.06</v>
      </c>
      <c r="M245" s="97">
        <f t="shared" si="57"/>
        <v>0.06</v>
      </c>
      <c r="N245" s="97">
        <f t="shared" si="57"/>
        <v>0.06</v>
      </c>
      <c r="O245" s="97">
        <f t="shared" si="57"/>
        <v>0.06</v>
      </c>
      <c r="P245" s="97">
        <f t="shared" si="57"/>
        <v>0.06</v>
      </c>
      <c r="Q245" s="97">
        <f t="shared" si="57"/>
        <v>0.06</v>
      </c>
      <c r="R245" s="97">
        <f t="shared" si="57"/>
        <v>0.06</v>
      </c>
      <c r="S245" s="97">
        <f t="shared" si="57"/>
        <v>0.06</v>
      </c>
      <c r="T245" s="56"/>
      <c r="U245" s="56"/>
      <c r="V245" s="56"/>
      <c r="W245" s="64"/>
      <c r="Z245" s="279"/>
    </row>
    <row r="246" spans="1:26">
      <c r="A246" s="98" t="s">
        <v>370</v>
      </c>
      <c r="B246" s="98"/>
      <c r="C246" s="99"/>
      <c r="D246" s="99"/>
      <c r="E246" s="99"/>
      <c r="F246" s="100" t="s">
        <v>371</v>
      </c>
      <c r="G246" s="101">
        <f>G244*G245</f>
        <v>-6234103.5258481046</v>
      </c>
      <c r="H246" s="101">
        <f>H244*H245</f>
        <v>65594.38942366105</v>
      </c>
      <c r="I246" s="101">
        <f>SUM(G244+H244+J244)*I245</f>
        <v>0</v>
      </c>
      <c r="J246" s="101">
        <f t="shared" ref="J246:S246" si="58">J244*J245</f>
        <v>143398.5620051414</v>
      </c>
      <c r="K246" s="101">
        <f t="shared" si="58"/>
        <v>0</v>
      </c>
      <c r="L246" s="101">
        <f>L244*L245</f>
        <v>0</v>
      </c>
      <c r="M246" s="101">
        <f t="shared" si="58"/>
        <v>-6025110.574419301</v>
      </c>
      <c r="N246" s="101">
        <f t="shared" si="58"/>
        <v>-623614.20213322074</v>
      </c>
      <c r="O246" s="101">
        <f t="shared" si="58"/>
        <v>15287.4486</v>
      </c>
      <c r="P246" s="101">
        <f t="shared" si="58"/>
        <v>-5087.8223999999991</v>
      </c>
      <c r="Q246" s="101">
        <f t="shared" si="58"/>
        <v>0</v>
      </c>
      <c r="R246" s="101">
        <f t="shared" si="58"/>
        <v>0</v>
      </c>
      <c r="S246" s="101">
        <f t="shared" si="58"/>
        <v>-6638525.1503525265</v>
      </c>
      <c r="T246" s="56"/>
      <c r="U246" s="56"/>
      <c r="V246" s="56"/>
      <c r="W246" s="64"/>
      <c r="Z246" s="279">
        <f>SUM(M246:R246)-S246</f>
        <v>0</v>
      </c>
    </row>
    <row r="247" spans="1:26">
      <c r="A247" s="59"/>
      <c r="B247" s="59"/>
      <c r="C247" s="65"/>
      <c r="D247" s="65"/>
      <c r="E247" s="65"/>
      <c r="F247" s="66"/>
      <c r="G247" s="56"/>
      <c r="H247" s="56"/>
      <c r="I247" s="102" t="s">
        <v>372</v>
      </c>
      <c r="J247" s="56"/>
      <c r="K247" s="103" t="s">
        <v>373</v>
      </c>
      <c r="L247" s="103" t="s">
        <v>374</v>
      </c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64"/>
      <c r="Z247" s="279"/>
    </row>
    <row r="248" spans="1:26">
      <c r="A248" s="323" t="s">
        <v>375</v>
      </c>
      <c r="B248" s="323"/>
      <c r="C248" s="323"/>
      <c r="D248" s="323"/>
      <c r="E248" s="323"/>
      <c r="F248" s="6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64"/>
      <c r="Z248" s="279"/>
    </row>
    <row r="249" spans="1:26">
      <c r="A249" s="59" t="s">
        <v>376</v>
      </c>
      <c r="B249" s="59"/>
      <c r="C249" s="65"/>
      <c r="D249" s="65" t="s">
        <v>315</v>
      </c>
      <c r="E249" s="65" t="s">
        <v>316</v>
      </c>
      <c r="F249" s="79" t="s">
        <v>377</v>
      </c>
      <c r="G249" s="61">
        <v>0</v>
      </c>
      <c r="H249" s="56">
        <v>0</v>
      </c>
      <c r="I249" s="56"/>
      <c r="J249" s="56">
        <v>0</v>
      </c>
      <c r="K249" s="56">
        <v>0</v>
      </c>
      <c r="L249" s="56">
        <v>0</v>
      </c>
      <c r="M249" s="61">
        <f>SUM(G249:L249)</f>
        <v>0</v>
      </c>
      <c r="N249" s="56">
        <v>0</v>
      </c>
      <c r="O249" s="56">
        <v>0</v>
      </c>
      <c r="P249" s="58">
        <v>0</v>
      </c>
      <c r="Q249" s="58">
        <v>0</v>
      </c>
      <c r="R249" s="58">
        <v>0</v>
      </c>
      <c r="S249" s="61">
        <f>SUM(M249:R249)</f>
        <v>0</v>
      </c>
      <c r="T249" s="56"/>
      <c r="U249" s="63">
        <f>IF(S249&gt;0,S249*(1-G305),0)</f>
        <v>0</v>
      </c>
      <c r="V249" s="93" t="s">
        <v>60</v>
      </c>
      <c r="W249" s="64">
        <f>U249</f>
        <v>0</v>
      </c>
      <c r="Z249" s="279">
        <f>SUM(M249:R249)-S249</f>
        <v>0</v>
      </c>
    </row>
    <row r="250" spans="1:26">
      <c r="A250" s="59" t="s">
        <v>8</v>
      </c>
      <c r="B250" s="59"/>
      <c r="C250" s="65"/>
      <c r="D250" s="65" t="s">
        <v>324</v>
      </c>
      <c r="E250" s="65" t="s">
        <v>378</v>
      </c>
      <c r="F250" s="66"/>
      <c r="G250" s="61">
        <v>0</v>
      </c>
      <c r="H250" s="56">
        <v>0</v>
      </c>
      <c r="I250" s="56"/>
      <c r="J250" s="56">
        <v>0</v>
      </c>
      <c r="K250" s="56">
        <v>0</v>
      </c>
      <c r="L250" s="56">
        <v>0</v>
      </c>
      <c r="M250" s="61">
        <f>SUM(G250:L250)</f>
        <v>0</v>
      </c>
      <c r="N250" s="56">
        <v>0</v>
      </c>
      <c r="O250" s="56">
        <v>0</v>
      </c>
      <c r="P250" s="58">
        <v>0</v>
      </c>
      <c r="Q250" s="58">
        <v>0</v>
      </c>
      <c r="R250" s="58">
        <v>0</v>
      </c>
      <c r="S250" s="61">
        <f>SUM(M250:R250)</f>
        <v>0</v>
      </c>
      <c r="T250" s="56"/>
      <c r="U250" s="63">
        <f>IF(S250&gt;0,S250*$H$308,0)</f>
        <v>0</v>
      </c>
      <c r="V250" s="93">
        <v>0</v>
      </c>
      <c r="W250" s="64">
        <f>U250</f>
        <v>0</v>
      </c>
      <c r="Z250" s="279">
        <f>SUM(M250:R250)-S250</f>
        <v>0</v>
      </c>
    </row>
    <row r="251" spans="1:26">
      <c r="A251" s="59" t="s">
        <v>8</v>
      </c>
      <c r="B251" s="59"/>
      <c r="C251" s="65"/>
      <c r="D251" s="65" t="s">
        <v>324</v>
      </c>
      <c r="E251" s="65" t="s">
        <v>356</v>
      </c>
      <c r="F251" s="66"/>
      <c r="G251" s="61">
        <v>0</v>
      </c>
      <c r="H251" s="56">
        <v>0</v>
      </c>
      <c r="I251" s="56"/>
      <c r="J251" s="56">
        <v>0</v>
      </c>
      <c r="K251" s="56">
        <v>0</v>
      </c>
      <c r="L251" s="56">
        <v>0</v>
      </c>
      <c r="M251" s="61">
        <f>SUM(G251:L251)</f>
        <v>0</v>
      </c>
      <c r="N251" s="56">
        <v>0</v>
      </c>
      <c r="O251" s="56">
        <v>0</v>
      </c>
      <c r="P251" s="58">
        <v>0</v>
      </c>
      <c r="Q251" s="58">
        <v>0</v>
      </c>
      <c r="R251" s="58">
        <v>0</v>
      </c>
      <c r="S251" s="61">
        <f>SUM(M251:R251)</f>
        <v>0</v>
      </c>
      <c r="T251" s="56"/>
      <c r="U251" s="63">
        <f>IF(S251&gt;0,S251*$H$308,0)</f>
        <v>0</v>
      </c>
      <c r="V251" s="93" t="s">
        <v>60</v>
      </c>
      <c r="W251" s="64">
        <f>U251</f>
        <v>0</v>
      </c>
      <c r="Z251" s="279">
        <f>SUM(M251:R251)-S251</f>
        <v>0</v>
      </c>
    </row>
    <row r="252" spans="1:26">
      <c r="A252" s="59" t="s">
        <v>98</v>
      </c>
      <c r="B252" s="59"/>
      <c r="C252" s="65"/>
      <c r="D252" s="65"/>
      <c r="E252" s="65"/>
      <c r="F252" s="66"/>
      <c r="G252" s="61">
        <v>0</v>
      </c>
      <c r="H252" s="56">
        <v>0</v>
      </c>
      <c r="I252" s="56"/>
      <c r="J252" s="56">
        <v>0</v>
      </c>
      <c r="K252" s="56">
        <v>0</v>
      </c>
      <c r="L252" s="56">
        <v>0</v>
      </c>
      <c r="M252" s="61">
        <f>SUM(G252:L252)</f>
        <v>0</v>
      </c>
      <c r="N252" s="56">
        <v>0</v>
      </c>
      <c r="O252" s="56">
        <v>0</v>
      </c>
      <c r="P252" s="58">
        <v>0</v>
      </c>
      <c r="Q252" s="58">
        <v>0</v>
      </c>
      <c r="R252" s="58">
        <v>0</v>
      </c>
      <c r="S252" s="61">
        <f>SUM(M252:P252)</f>
        <v>0</v>
      </c>
      <c r="T252" s="56"/>
      <c r="U252" s="63">
        <f>IF(S252&gt;0,S252*$H$308,0)</f>
        <v>0</v>
      </c>
      <c r="V252" s="93" t="s">
        <v>60</v>
      </c>
      <c r="W252" s="64">
        <f>U252</f>
        <v>0</v>
      </c>
      <c r="Z252" s="279"/>
    </row>
    <row r="253" spans="1:26">
      <c r="A253" s="59" t="s">
        <v>98</v>
      </c>
      <c r="B253" s="59"/>
      <c r="C253" s="65"/>
      <c r="D253" s="65"/>
      <c r="E253" s="65"/>
      <c r="F253" s="66"/>
      <c r="G253" s="61">
        <v>0</v>
      </c>
      <c r="H253" s="56">
        <v>0</v>
      </c>
      <c r="I253" s="56"/>
      <c r="J253" s="56">
        <v>0</v>
      </c>
      <c r="K253" s="56">
        <v>0</v>
      </c>
      <c r="L253" s="56">
        <v>0</v>
      </c>
      <c r="M253" s="61">
        <f>SUM(G253:L253)</f>
        <v>0</v>
      </c>
      <c r="N253" s="56">
        <v>0</v>
      </c>
      <c r="O253" s="56">
        <v>0</v>
      </c>
      <c r="P253" s="58">
        <v>0</v>
      </c>
      <c r="Q253" s="58">
        <v>0</v>
      </c>
      <c r="R253" s="58">
        <v>0</v>
      </c>
      <c r="S253" s="61">
        <f>SUM(M253:P253)</f>
        <v>0</v>
      </c>
      <c r="T253" s="56"/>
      <c r="U253" s="63">
        <f>IF(S253&gt;0,S253*$H$308,0)</f>
        <v>0</v>
      </c>
      <c r="V253" s="93" t="s">
        <v>60</v>
      </c>
      <c r="W253" s="64">
        <f>U253</f>
        <v>0</v>
      </c>
      <c r="Z253" s="279"/>
    </row>
    <row r="254" spans="1:26">
      <c r="A254" s="68" t="s">
        <v>379</v>
      </c>
      <c r="B254" s="68"/>
      <c r="C254" s="69"/>
      <c r="D254" s="69"/>
      <c r="E254" s="69"/>
      <c r="F254" s="70" t="s">
        <v>380</v>
      </c>
      <c r="G254" s="71">
        <f>SUM(G249:G253)</f>
        <v>0</v>
      </c>
      <c r="H254" s="71">
        <f t="shared" ref="H254:S254" si="59">SUM(H249:H253)</f>
        <v>0</v>
      </c>
      <c r="I254" s="71">
        <f t="shared" si="59"/>
        <v>0</v>
      </c>
      <c r="J254" s="71">
        <f t="shared" si="59"/>
        <v>0</v>
      </c>
      <c r="K254" s="71">
        <f t="shared" si="59"/>
        <v>0</v>
      </c>
      <c r="L254" s="71">
        <f t="shared" si="59"/>
        <v>0</v>
      </c>
      <c r="M254" s="71">
        <f t="shared" si="59"/>
        <v>0</v>
      </c>
      <c r="N254" s="71">
        <f t="shared" si="59"/>
        <v>0</v>
      </c>
      <c r="O254" s="71">
        <f t="shared" si="59"/>
        <v>0</v>
      </c>
      <c r="P254" s="71">
        <f t="shared" si="59"/>
        <v>0</v>
      </c>
      <c r="Q254" s="71">
        <f t="shared" si="59"/>
        <v>0</v>
      </c>
      <c r="R254" s="71">
        <f t="shared" si="59"/>
        <v>0</v>
      </c>
      <c r="S254" s="71">
        <f t="shared" si="59"/>
        <v>0</v>
      </c>
      <c r="T254" s="56"/>
      <c r="U254" s="71">
        <f>SUM(U249:U253)</f>
        <v>0</v>
      </c>
      <c r="V254" s="71">
        <f>SUM(V249:V253)</f>
        <v>0</v>
      </c>
      <c r="W254" s="71">
        <f>SUM(W249:W253)</f>
        <v>0</v>
      </c>
      <c r="Z254" s="279">
        <f>SUM(M254:R254)-S254</f>
        <v>0</v>
      </c>
    </row>
    <row r="255" spans="1:26">
      <c r="A255" s="59"/>
      <c r="B255" s="59"/>
      <c r="C255" s="65"/>
      <c r="D255" s="65"/>
      <c r="E255" s="65"/>
      <c r="F255" s="6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322" t="s">
        <v>381</v>
      </c>
      <c r="V255" s="322"/>
      <c r="W255" s="322"/>
      <c r="Z255" s="279"/>
    </row>
    <row r="256" spans="1:26">
      <c r="A256" s="59" t="s">
        <v>382</v>
      </c>
      <c r="B256" s="59"/>
      <c r="C256" s="65"/>
      <c r="D256" s="65"/>
      <c r="E256" s="65"/>
      <c r="F256" s="66"/>
      <c r="G256" s="56">
        <f t="shared" ref="G256:L256" si="60">G246+G254</f>
        <v>-6234103.5258481046</v>
      </c>
      <c r="H256" s="56">
        <f t="shared" si="60"/>
        <v>65594.38942366105</v>
      </c>
      <c r="I256" s="56">
        <f t="shared" si="60"/>
        <v>0</v>
      </c>
      <c r="J256" s="56">
        <f t="shared" si="60"/>
        <v>143398.5620051414</v>
      </c>
      <c r="K256" s="56">
        <f t="shared" si="60"/>
        <v>0</v>
      </c>
      <c r="L256" s="56">
        <f t="shared" si="60"/>
        <v>0</v>
      </c>
      <c r="M256" s="61">
        <f>SUM(G256:L256)</f>
        <v>-6025110.5744193019</v>
      </c>
      <c r="N256" s="56">
        <f>N246+N254</f>
        <v>-623614.20213322074</v>
      </c>
      <c r="O256" s="56">
        <f>O246+O254</f>
        <v>15287.4486</v>
      </c>
      <c r="P256" s="56">
        <f>P246+P254</f>
        <v>-5087.8223999999991</v>
      </c>
      <c r="Q256" s="56">
        <f>Q246+Q254</f>
        <v>0</v>
      </c>
      <c r="R256" s="56">
        <f>R246+R254</f>
        <v>0</v>
      </c>
      <c r="S256" s="61">
        <f>SUM(M256:R256)</f>
        <v>-6638525.1503525227</v>
      </c>
      <c r="T256" s="56"/>
      <c r="U256" s="18"/>
      <c r="V256" s="18"/>
      <c r="W256" s="18"/>
      <c r="Z256" s="279"/>
    </row>
    <row r="257" spans="1:26">
      <c r="A257" s="59" t="s">
        <v>383</v>
      </c>
      <c r="B257" s="59"/>
      <c r="C257" s="65"/>
      <c r="D257" s="65"/>
      <c r="E257" s="65" t="s">
        <v>345</v>
      </c>
      <c r="F257" s="66"/>
      <c r="G257" s="56">
        <v>0</v>
      </c>
      <c r="H257" s="56">
        <v>0</v>
      </c>
      <c r="I257" s="56">
        <v>0</v>
      </c>
      <c r="J257" s="56">
        <v>0</v>
      </c>
      <c r="K257" s="56">
        <v>0</v>
      </c>
      <c r="L257" s="56">
        <v>0</v>
      </c>
      <c r="M257" s="61">
        <f>SUM(G257:L257)</f>
        <v>0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61">
        <f>SUM(M257:R257)</f>
        <v>0</v>
      </c>
      <c r="T257" s="56"/>
      <c r="U257" s="63">
        <f>IF(S257&gt;0,S257*(1-$G$305),0)</f>
        <v>0</v>
      </c>
      <c r="V257" s="56">
        <f>IF(S257&lt;0,-S257*(1-$G$305),0)</f>
        <v>0</v>
      </c>
      <c r="W257" s="64">
        <f>U257-V257</f>
        <v>0</v>
      </c>
      <c r="Z257" s="279">
        <f>SUM(M257:R257)-S257</f>
        <v>0</v>
      </c>
    </row>
    <row r="258" spans="1:26">
      <c r="A258" s="98" t="s">
        <v>384</v>
      </c>
      <c r="B258" s="98"/>
      <c r="C258" s="99"/>
      <c r="D258" s="99"/>
      <c r="E258" s="99"/>
      <c r="F258" s="100"/>
      <c r="G258" s="101">
        <f t="shared" ref="G258:S258" si="61">SUM(G256:G257)</f>
        <v>-6234103.5258481046</v>
      </c>
      <c r="H258" s="101">
        <f t="shared" si="61"/>
        <v>65594.38942366105</v>
      </c>
      <c r="I258" s="101">
        <f t="shared" si="61"/>
        <v>0</v>
      </c>
      <c r="J258" s="101">
        <f t="shared" si="61"/>
        <v>143398.5620051414</v>
      </c>
      <c r="K258" s="101">
        <f t="shared" si="61"/>
        <v>0</v>
      </c>
      <c r="L258" s="101">
        <f t="shared" si="61"/>
        <v>0</v>
      </c>
      <c r="M258" s="101">
        <f t="shared" si="61"/>
        <v>-6025110.5744193019</v>
      </c>
      <c r="N258" s="101">
        <f t="shared" si="61"/>
        <v>-623614.20213322074</v>
      </c>
      <c r="O258" s="101">
        <f t="shared" si="61"/>
        <v>15287.4486</v>
      </c>
      <c r="P258" s="101">
        <f t="shared" si="61"/>
        <v>-5087.8223999999991</v>
      </c>
      <c r="Q258" s="101">
        <f t="shared" si="61"/>
        <v>0</v>
      </c>
      <c r="R258" s="101">
        <f t="shared" si="61"/>
        <v>0</v>
      </c>
      <c r="S258" s="101">
        <f t="shared" si="61"/>
        <v>-6638525.1503525227</v>
      </c>
      <c r="T258" s="56"/>
      <c r="U258" s="71">
        <f>SUM(U257:U257)</f>
        <v>0</v>
      </c>
      <c r="V258" s="71">
        <f>SUM(V257:V257)</f>
        <v>0</v>
      </c>
      <c r="W258" s="71">
        <f>SUM(W257:W257)</f>
        <v>0</v>
      </c>
      <c r="Z258" s="279">
        <f>SUM(M258:R258)-S258</f>
        <v>0</v>
      </c>
    </row>
    <row r="259" spans="1:26">
      <c r="A259" s="59"/>
      <c r="B259" s="59"/>
      <c r="C259" s="65"/>
      <c r="D259" s="65"/>
      <c r="E259" s="65"/>
      <c r="F259" s="6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18"/>
      <c r="V259" s="18"/>
      <c r="W259" s="18"/>
      <c r="Z259" s="279"/>
    </row>
    <row r="260" spans="1:26">
      <c r="A260" s="59" t="s">
        <v>385</v>
      </c>
      <c r="B260" s="59"/>
      <c r="C260" s="65"/>
      <c r="D260" s="65"/>
      <c r="E260" s="65"/>
      <c r="F260" s="66" t="s">
        <v>386</v>
      </c>
      <c r="G260" s="56">
        <f t="shared" ref="G260:P260" si="62">G32+G175+G195+G204+G218+G229</f>
        <v>-124231615.25667405</v>
      </c>
      <c r="H260" s="56">
        <f t="shared" si="62"/>
        <v>4521981.8237276841</v>
      </c>
      <c r="I260" s="56">
        <f t="shared" si="62"/>
        <v>0</v>
      </c>
      <c r="J260" s="56">
        <f t="shared" si="62"/>
        <v>2664335.0334190233</v>
      </c>
      <c r="K260" s="56">
        <f t="shared" si="62"/>
        <v>0</v>
      </c>
      <c r="L260" s="56">
        <f>L32+L175+L195+L204+L218+L229</f>
        <v>0</v>
      </c>
      <c r="M260" s="61">
        <f t="shared" si="62"/>
        <v>-117045298.39952733</v>
      </c>
      <c r="N260" s="56">
        <f t="shared" si="62"/>
        <v>-125233868.4126936</v>
      </c>
      <c r="O260" s="56">
        <f t="shared" si="62"/>
        <v>254790.81</v>
      </c>
      <c r="P260" s="56">
        <f t="shared" si="62"/>
        <v>-84797.04</v>
      </c>
      <c r="Q260" s="56"/>
      <c r="R260" s="56">
        <f>R32+R175+R195+R204+R218+R229</f>
        <v>0</v>
      </c>
      <c r="S260" s="56">
        <f>S32+S175+S195+S204+S218+S229</f>
        <v>-242109173.04222101</v>
      </c>
      <c r="T260" s="56"/>
      <c r="U260" s="56"/>
      <c r="V260" s="56"/>
      <c r="W260" s="64"/>
      <c r="Z260" s="279">
        <f>SUM(M260:R260)-S260</f>
        <v>0</v>
      </c>
    </row>
    <row r="261" spans="1:26">
      <c r="A261" s="59" t="s">
        <v>387</v>
      </c>
      <c r="B261" s="59"/>
      <c r="C261" s="65"/>
      <c r="D261" s="65"/>
      <c r="E261" s="65"/>
      <c r="F261" s="66" t="s">
        <v>388</v>
      </c>
      <c r="G261" s="56">
        <f>-G258</f>
        <v>6234103.5258481046</v>
      </c>
      <c r="H261" s="56">
        <f t="shared" ref="H261:S261" si="63">-H258</f>
        <v>-65594.38942366105</v>
      </c>
      <c r="I261" s="56">
        <f t="shared" si="63"/>
        <v>0</v>
      </c>
      <c r="J261" s="56">
        <f t="shared" si="63"/>
        <v>-143398.5620051414</v>
      </c>
      <c r="K261" s="56">
        <f t="shared" si="63"/>
        <v>0</v>
      </c>
      <c r="L261" s="56">
        <f t="shared" si="63"/>
        <v>0</v>
      </c>
      <c r="M261" s="61">
        <f t="shared" si="63"/>
        <v>6025110.5744193019</v>
      </c>
      <c r="N261" s="56">
        <f t="shared" si="63"/>
        <v>623614.20213322074</v>
      </c>
      <c r="O261" s="56">
        <f t="shared" si="63"/>
        <v>-15287.4486</v>
      </c>
      <c r="P261" s="56">
        <f t="shared" si="63"/>
        <v>5087.8223999999991</v>
      </c>
      <c r="Q261" s="56">
        <f t="shared" si="63"/>
        <v>0</v>
      </c>
      <c r="R261" s="56">
        <f t="shared" si="63"/>
        <v>0</v>
      </c>
      <c r="S261" s="56">
        <f t="shared" si="63"/>
        <v>6638525.1503525227</v>
      </c>
      <c r="T261" s="56"/>
      <c r="U261" s="56"/>
      <c r="V261" s="56"/>
      <c r="W261" s="64"/>
      <c r="Z261" s="279">
        <f>SUM(M261:R261)-S261</f>
        <v>0</v>
      </c>
    </row>
    <row r="262" spans="1:26">
      <c r="A262" s="59" t="s">
        <v>389</v>
      </c>
      <c r="B262" s="59"/>
      <c r="C262" s="65"/>
      <c r="D262" s="65"/>
      <c r="E262" s="65"/>
      <c r="F262" s="66" t="s">
        <v>390</v>
      </c>
      <c r="G262" s="56">
        <f t="shared" ref="G262:P262" si="64">SUM(G260:G261)</f>
        <v>-117997511.73082595</v>
      </c>
      <c r="H262" s="56">
        <f t="shared" si="64"/>
        <v>4456387.4343040232</v>
      </c>
      <c r="I262" s="56">
        <f t="shared" si="64"/>
        <v>0</v>
      </c>
      <c r="J262" s="56">
        <f t="shared" si="64"/>
        <v>2520936.471413882</v>
      </c>
      <c r="K262" s="56">
        <f t="shared" si="64"/>
        <v>0</v>
      </c>
      <c r="L262" s="56">
        <f t="shared" si="64"/>
        <v>0</v>
      </c>
      <c r="M262" s="56">
        <f t="shared" si="64"/>
        <v>-111020187.82510802</v>
      </c>
      <c r="N262" s="56">
        <f t="shared" si="64"/>
        <v>-124610254.21056038</v>
      </c>
      <c r="O262" s="56">
        <f t="shared" si="64"/>
        <v>239503.36139999999</v>
      </c>
      <c r="P262" s="56">
        <f t="shared" si="64"/>
        <v>-79709.217599999989</v>
      </c>
      <c r="Q262" s="56"/>
      <c r="R262" s="56">
        <f>SUM(R260:R261)</f>
        <v>0</v>
      </c>
      <c r="S262" s="56">
        <f>SUM(S260:S261)</f>
        <v>-235470647.89186847</v>
      </c>
      <c r="T262" s="56"/>
      <c r="U262" s="56"/>
      <c r="V262" s="56"/>
      <c r="W262" s="64"/>
      <c r="Z262" s="279">
        <f>SUM(M262:R262)-S262</f>
        <v>0</v>
      </c>
    </row>
    <row r="263" spans="1:26">
      <c r="A263" s="59" t="s">
        <v>391</v>
      </c>
      <c r="B263" s="59"/>
      <c r="C263" s="65"/>
      <c r="D263" s="65"/>
      <c r="E263" s="65"/>
      <c r="F263" s="66" t="s">
        <v>392</v>
      </c>
      <c r="G263" s="97">
        <f>$G305</f>
        <v>0.35</v>
      </c>
      <c r="H263" s="97">
        <f>$G305</f>
        <v>0.35</v>
      </c>
      <c r="I263" s="97">
        <v>0.35</v>
      </c>
      <c r="J263" s="97">
        <f t="shared" ref="J263:S263" si="65">$G305</f>
        <v>0.35</v>
      </c>
      <c r="K263" s="97">
        <f t="shared" si="65"/>
        <v>0.35</v>
      </c>
      <c r="L263" s="97">
        <f t="shared" si="65"/>
        <v>0.35</v>
      </c>
      <c r="M263" s="97">
        <f t="shared" si="65"/>
        <v>0.35</v>
      </c>
      <c r="N263" s="97">
        <f t="shared" si="65"/>
        <v>0.35</v>
      </c>
      <c r="O263" s="97">
        <f t="shared" si="65"/>
        <v>0.35</v>
      </c>
      <c r="P263" s="97">
        <f t="shared" si="65"/>
        <v>0.35</v>
      </c>
      <c r="Q263" s="97">
        <f t="shared" si="65"/>
        <v>0.35</v>
      </c>
      <c r="R263" s="97">
        <f t="shared" si="65"/>
        <v>0.35</v>
      </c>
      <c r="S263" s="97">
        <f t="shared" si="65"/>
        <v>0.35</v>
      </c>
      <c r="T263" s="56"/>
      <c r="U263" s="56"/>
      <c r="V263" s="56"/>
      <c r="W263" s="64"/>
      <c r="Z263" s="279"/>
    </row>
    <row r="264" spans="1:26">
      <c r="A264" s="98" t="s">
        <v>393</v>
      </c>
      <c r="B264" s="98"/>
      <c r="C264" s="99"/>
      <c r="D264" s="99"/>
      <c r="E264" s="99"/>
      <c r="F264" s="100" t="s">
        <v>394</v>
      </c>
      <c r="G264" s="101">
        <f t="shared" ref="G264:S264" si="66">G262*G263</f>
        <v>-41299129.10578908</v>
      </c>
      <c r="H264" s="101">
        <f t="shared" si="66"/>
        <v>1559735.6020064079</v>
      </c>
      <c r="I264" s="101">
        <f t="shared" si="66"/>
        <v>0</v>
      </c>
      <c r="J264" s="101">
        <f t="shared" si="66"/>
        <v>882327.76499485865</v>
      </c>
      <c r="K264" s="101">
        <f t="shared" si="66"/>
        <v>0</v>
      </c>
      <c r="L264" s="101">
        <f t="shared" si="66"/>
        <v>0</v>
      </c>
      <c r="M264" s="101">
        <f t="shared" si="66"/>
        <v>-38857065.738787808</v>
      </c>
      <c r="N264" s="101">
        <f t="shared" si="66"/>
        <v>-43613588.973696128</v>
      </c>
      <c r="O264" s="101">
        <f t="shared" si="66"/>
        <v>83826.176489999998</v>
      </c>
      <c r="P264" s="101">
        <f t="shared" si="66"/>
        <v>-27898.226159999995</v>
      </c>
      <c r="Q264" s="101">
        <f t="shared" si="66"/>
        <v>0</v>
      </c>
      <c r="R264" s="101">
        <f t="shared" si="66"/>
        <v>0</v>
      </c>
      <c r="S264" s="101">
        <f t="shared" si="66"/>
        <v>-82414726.762153953</v>
      </c>
      <c r="T264" s="56"/>
      <c r="U264" s="56"/>
      <c r="V264" s="56"/>
      <c r="W264" s="64"/>
      <c r="Z264" s="279">
        <f>SUM(M264:R264)-S264</f>
        <v>0</v>
      </c>
    </row>
    <row r="265" spans="1:26">
      <c r="A265" s="59"/>
      <c r="B265" s="59"/>
      <c r="C265" s="65"/>
      <c r="D265" s="65"/>
      <c r="E265" s="65"/>
      <c r="F265" s="66"/>
      <c r="G265" s="56"/>
      <c r="H265" s="56"/>
      <c r="I265" s="102" t="s">
        <v>395</v>
      </c>
      <c r="J265" s="56"/>
      <c r="K265" s="103" t="s">
        <v>396</v>
      </c>
      <c r="L265" s="103" t="s">
        <v>397</v>
      </c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64"/>
      <c r="Z265" s="279"/>
    </row>
    <row r="266" spans="1:26">
      <c r="A266" s="323" t="s">
        <v>398</v>
      </c>
      <c r="B266" s="323"/>
      <c r="C266" s="323"/>
      <c r="D266" s="323"/>
      <c r="E266" s="323"/>
      <c r="F266" s="6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64"/>
      <c r="Z266" s="279"/>
    </row>
    <row r="267" spans="1:26">
      <c r="A267" s="74" t="s">
        <v>86</v>
      </c>
      <c r="B267" s="59" t="s">
        <v>399</v>
      </c>
      <c r="C267" s="65"/>
      <c r="D267" s="65" t="s">
        <v>324</v>
      </c>
      <c r="E267" s="65" t="s">
        <v>400</v>
      </c>
      <c r="F267" s="79" t="s">
        <v>401</v>
      </c>
      <c r="G267" s="61">
        <v>0</v>
      </c>
      <c r="H267" s="56">
        <v>0</v>
      </c>
      <c r="I267" s="56"/>
      <c r="J267" s="56">
        <v>0</v>
      </c>
      <c r="K267" s="56">
        <v>0</v>
      </c>
      <c r="L267" s="56">
        <v>0</v>
      </c>
      <c r="M267" s="61">
        <f>SUM(G267:L267)</f>
        <v>0</v>
      </c>
      <c r="N267" s="112">
        <f>(IF(ISNA(HLOOKUP($E$3,'[2]Current Provision - HYP'!$E$7:$BQ$205,172,FALSE))=TRUE,0,HLOOKUP($E$3,'[2]Current Provision - HYP'!$E$7:$BQ$205,172,FALSE)))</f>
        <v>0</v>
      </c>
      <c r="O267" s="56">
        <v>0</v>
      </c>
      <c r="P267" s="58">
        <v>0</v>
      </c>
      <c r="Q267" s="58">
        <v>0</v>
      </c>
      <c r="R267" s="58">
        <v>0</v>
      </c>
      <c r="S267" s="61">
        <f>SUM(M267:R267)</f>
        <v>0</v>
      </c>
      <c r="T267" s="56"/>
      <c r="U267" s="56">
        <f>S267</f>
        <v>0</v>
      </c>
      <c r="V267" s="93" t="s">
        <v>60</v>
      </c>
      <c r="W267" s="64">
        <f>U267</f>
        <v>0</v>
      </c>
      <c r="Z267" s="279">
        <f>SUM(M267:R267)-S267</f>
        <v>0</v>
      </c>
    </row>
    <row r="268" spans="1:26">
      <c r="A268" s="74" t="s">
        <v>86</v>
      </c>
      <c r="B268" s="59" t="s">
        <v>402</v>
      </c>
      <c r="C268" s="65"/>
      <c r="D268" s="65" t="s">
        <v>324</v>
      </c>
      <c r="E268" s="65" t="s">
        <v>403</v>
      </c>
      <c r="F268" s="66"/>
      <c r="G268" s="61">
        <v>16420</v>
      </c>
      <c r="H268" s="56">
        <v>0</v>
      </c>
      <c r="I268" s="56"/>
      <c r="J268" s="56">
        <v>0</v>
      </c>
      <c r="K268" s="56">
        <v>0</v>
      </c>
      <c r="L268" s="56">
        <v>0</v>
      </c>
      <c r="M268" s="61">
        <f>SUM(G268:L268)</f>
        <v>16420</v>
      </c>
      <c r="N268" s="56">
        <v>0</v>
      </c>
      <c r="O268" s="56">
        <v>0</v>
      </c>
      <c r="P268" s="58">
        <v>0</v>
      </c>
      <c r="Q268" s="58">
        <v>0</v>
      </c>
      <c r="R268" s="58">
        <v>0</v>
      </c>
      <c r="S268" s="61">
        <f>SUM(M268:R268)</f>
        <v>16420</v>
      </c>
      <c r="T268" s="56"/>
      <c r="U268" s="56">
        <f>S268</f>
        <v>16420</v>
      </c>
      <c r="V268" s="93" t="s">
        <v>60</v>
      </c>
      <c r="W268" s="64">
        <f>U268</f>
        <v>16420</v>
      </c>
      <c r="Z268" s="279">
        <f>SUM(M268:R268)-S268</f>
        <v>0</v>
      </c>
    </row>
    <row r="269" spans="1:26">
      <c r="A269" s="74" t="s">
        <v>86</v>
      </c>
      <c r="B269" s="61" t="s">
        <v>404</v>
      </c>
      <c r="C269" s="65"/>
      <c r="D269" s="65" t="s">
        <v>324</v>
      </c>
      <c r="E269" s="65" t="s">
        <v>400</v>
      </c>
      <c r="F269" s="66"/>
      <c r="G269" s="61">
        <v>0</v>
      </c>
      <c r="H269" s="56">
        <v>0</v>
      </c>
      <c r="I269" s="56"/>
      <c r="J269" s="56">
        <v>0</v>
      </c>
      <c r="K269" s="56">
        <v>0</v>
      </c>
      <c r="L269" s="56">
        <v>0</v>
      </c>
      <c r="M269" s="61">
        <f>SUM(G269:L269)</f>
        <v>0</v>
      </c>
      <c r="N269" s="56">
        <v>0</v>
      </c>
      <c r="O269" s="56">
        <v>0</v>
      </c>
      <c r="P269" s="58">
        <v>0</v>
      </c>
      <c r="Q269" s="58">
        <v>0</v>
      </c>
      <c r="R269" s="58">
        <v>0</v>
      </c>
      <c r="S269" s="67">
        <f>SUM(M269:R269)</f>
        <v>0</v>
      </c>
      <c r="T269" s="56"/>
      <c r="U269" s="56">
        <f>S269</f>
        <v>0</v>
      </c>
      <c r="V269" s="93" t="s">
        <v>60</v>
      </c>
      <c r="W269" s="64">
        <f>U269</f>
        <v>0</v>
      </c>
      <c r="Z269" s="279">
        <f>SUM(M269:R269)-S269</f>
        <v>0</v>
      </c>
    </row>
    <row r="270" spans="1:26">
      <c r="A270" s="74"/>
      <c r="B270" s="59" t="s">
        <v>98</v>
      </c>
      <c r="C270" s="65"/>
      <c r="D270" s="65"/>
      <c r="E270" s="65"/>
      <c r="F270" s="66"/>
      <c r="G270" s="61">
        <v>0</v>
      </c>
      <c r="H270" s="56">
        <v>0</v>
      </c>
      <c r="I270" s="56"/>
      <c r="J270" s="56">
        <v>0</v>
      </c>
      <c r="K270" s="56">
        <v>0</v>
      </c>
      <c r="L270" s="56">
        <v>0</v>
      </c>
      <c r="M270" s="61">
        <f>SUM(G270:L270)</f>
        <v>0</v>
      </c>
      <c r="N270" s="56">
        <v>0</v>
      </c>
      <c r="O270" s="56">
        <v>0</v>
      </c>
      <c r="P270" s="58">
        <v>0</v>
      </c>
      <c r="Q270" s="58">
        <v>0</v>
      </c>
      <c r="R270" s="58">
        <v>0</v>
      </c>
      <c r="S270" s="61">
        <f>SUM(M270:R270)</f>
        <v>0</v>
      </c>
      <c r="T270" s="56"/>
      <c r="U270" s="56">
        <f>S270</f>
        <v>0</v>
      </c>
      <c r="V270" s="93" t="s">
        <v>60</v>
      </c>
      <c r="W270" s="64">
        <f>U270</f>
        <v>0</v>
      </c>
      <c r="Z270" s="279"/>
    </row>
    <row r="271" spans="1:26">
      <c r="A271" s="74"/>
      <c r="B271" s="59" t="s">
        <v>98</v>
      </c>
      <c r="C271" s="65"/>
      <c r="D271" s="65"/>
      <c r="E271" s="65"/>
      <c r="F271" s="66"/>
      <c r="G271" s="61">
        <v>0</v>
      </c>
      <c r="H271" s="56">
        <v>0</v>
      </c>
      <c r="I271" s="56"/>
      <c r="J271" s="56">
        <v>0</v>
      </c>
      <c r="K271" s="56">
        <v>0</v>
      </c>
      <c r="L271" s="56">
        <v>0</v>
      </c>
      <c r="M271" s="61">
        <f>SUM(G271:L271)</f>
        <v>0</v>
      </c>
      <c r="N271" s="56">
        <v>0</v>
      </c>
      <c r="O271" s="56">
        <v>0</v>
      </c>
      <c r="P271" s="58">
        <v>0</v>
      </c>
      <c r="Q271" s="58">
        <v>0</v>
      </c>
      <c r="R271" s="58">
        <v>0</v>
      </c>
      <c r="S271" s="61">
        <f>SUM(M271:R271)</f>
        <v>0</v>
      </c>
      <c r="T271" s="56"/>
      <c r="U271" s="56">
        <f>S271</f>
        <v>0</v>
      </c>
      <c r="V271" s="93" t="s">
        <v>60</v>
      </c>
      <c r="W271" s="64">
        <f>U271</f>
        <v>0</v>
      </c>
      <c r="Z271" s="279"/>
    </row>
    <row r="272" spans="1:26">
      <c r="A272" s="68" t="s">
        <v>405</v>
      </c>
      <c r="B272" s="68"/>
      <c r="C272" s="69"/>
      <c r="D272" s="69"/>
      <c r="E272" s="69"/>
      <c r="F272" s="70" t="s">
        <v>406</v>
      </c>
      <c r="G272" s="71">
        <f>SUM(G267:G271)</f>
        <v>16420</v>
      </c>
      <c r="H272" s="71">
        <f t="shared" ref="H272:S272" si="67">SUM(H267:H271)</f>
        <v>0</v>
      </c>
      <c r="I272" s="71">
        <f t="shared" si="67"/>
        <v>0</v>
      </c>
      <c r="J272" s="71">
        <f t="shared" si="67"/>
        <v>0</v>
      </c>
      <c r="K272" s="71">
        <f t="shared" si="67"/>
        <v>0</v>
      </c>
      <c r="L272" s="71">
        <f t="shared" si="67"/>
        <v>0</v>
      </c>
      <c r="M272" s="71">
        <f t="shared" si="67"/>
        <v>16420</v>
      </c>
      <c r="N272" s="71">
        <f t="shared" si="67"/>
        <v>0</v>
      </c>
      <c r="O272" s="71">
        <f t="shared" si="67"/>
        <v>0</v>
      </c>
      <c r="P272" s="71">
        <f t="shared" si="67"/>
        <v>0</v>
      </c>
      <c r="Q272" s="71">
        <f t="shared" si="67"/>
        <v>0</v>
      </c>
      <c r="R272" s="71">
        <f t="shared" si="67"/>
        <v>0</v>
      </c>
      <c r="S272" s="71">
        <f t="shared" si="67"/>
        <v>16420</v>
      </c>
      <c r="T272" s="56"/>
      <c r="U272" s="71">
        <f>SUM(U267:U271)</f>
        <v>16420</v>
      </c>
      <c r="V272" s="71">
        <f>SUM(V267:V271)</f>
        <v>0</v>
      </c>
      <c r="W272" s="71">
        <f>SUM(W267:W271)</f>
        <v>16420</v>
      </c>
      <c r="Z272" s="279">
        <f>SUM(M272:R272)-S272</f>
        <v>0</v>
      </c>
    </row>
    <row r="273" spans="1:26">
      <c r="A273" s="59"/>
      <c r="B273" s="59"/>
      <c r="C273" s="65"/>
      <c r="D273" s="65"/>
      <c r="E273" s="65"/>
      <c r="F273" s="6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322" t="s">
        <v>407</v>
      </c>
      <c r="V273" s="322"/>
      <c r="W273" s="322"/>
      <c r="Z273" s="279"/>
    </row>
    <row r="274" spans="1:26">
      <c r="A274" s="323" t="s">
        <v>408</v>
      </c>
      <c r="B274" s="323"/>
      <c r="C274" s="323"/>
      <c r="D274" s="323"/>
      <c r="E274" s="323"/>
      <c r="F274" s="6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64"/>
      <c r="Z274" s="279"/>
    </row>
    <row r="275" spans="1:26">
      <c r="A275" s="59" t="s">
        <v>409</v>
      </c>
      <c r="B275" s="59"/>
      <c r="C275" s="65"/>
      <c r="D275" s="65"/>
      <c r="E275" s="65"/>
      <c r="F275" s="79" t="s">
        <v>410</v>
      </c>
      <c r="G275" s="61"/>
      <c r="H275" s="56">
        <v>0</v>
      </c>
      <c r="I275" s="56"/>
      <c r="J275" s="56">
        <v>0</v>
      </c>
      <c r="K275" s="56">
        <v>0</v>
      </c>
      <c r="L275" s="56">
        <v>0</v>
      </c>
      <c r="M275" s="56"/>
      <c r="N275" s="56"/>
      <c r="O275" s="56">
        <v>0</v>
      </c>
      <c r="P275" s="56">
        <v>0</v>
      </c>
      <c r="Q275" s="56">
        <v>0</v>
      </c>
      <c r="R275" s="56">
        <v>0</v>
      </c>
      <c r="S275" s="61">
        <f>SUM(M275:R275)</f>
        <v>0</v>
      </c>
      <c r="T275" s="56"/>
      <c r="U275" s="56">
        <f>S275</f>
        <v>0</v>
      </c>
      <c r="V275" s="93" t="s">
        <v>60</v>
      </c>
      <c r="W275" s="64">
        <f>U275</f>
        <v>0</v>
      </c>
      <c r="Z275" s="279">
        <f>SUM(M275:R275)-S275</f>
        <v>0</v>
      </c>
    </row>
    <row r="276" spans="1:26">
      <c r="A276" s="59" t="s">
        <v>8</v>
      </c>
      <c r="B276" s="59"/>
      <c r="C276" s="65"/>
      <c r="D276" s="65"/>
      <c r="E276" s="65"/>
      <c r="F276" s="66"/>
      <c r="G276" s="61"/>
      <c r="H276" s="56">
        <v>0</v>
      </c>
      <c r="I276" s="56"/>
      <c r="J276" s="56">
        <v>0</v>
      </c>
      <c r="K276" s="56">
        <v>0</v>
      </c>
      <c r="L276" s="56">
        <v>0</v>
      </c>
      <c r="M276" s="56"/>
      <c r="N276" s="56"/>
      <c r="O276" s="56">
        <v>0</v>
      </c>
      <c r="P276" s="56">
        <v>0</v>
      </c>
      <c r="Q276" s="56">
        <v>0</v>
      </c>
      <c r="R276" s="56">
        <v>0</v>
      </c>
      <c r="S276" s="61">
        <f>SUM(M276:R276)</f>
        <v>0</v>
      </c>
      <c r="T276" s="56"/>
      <c r="U276" s="56">
        <f>S276</f>
        <v>0</v>
      </c>
      <c r="V276" s="93" t="s">
        <v>60</v>
      </c>
      <c r="W276" s="64">
        <f>U276</f>
        <v>0</v>
      </c>
      <c r="Z276" s="279">
        <f>SUM(M276:R276)-S276</f>
        <v>0</v>
      </c>
    </row>
    <row r="277" spans="1:26">
      <c r="A277" s="59" t="s">
        <v>8</v>
      </c>
      <c r="B277" s="59"/>
      <c r="C277" s="65"/>
      <c r="D277" s="65"/>
      <c r="E277" s="65"/>
      <c r="F277" s="66"/>
      <c r="G277" s="61"/>
      <c r="H277" s="56">
        <v>0</v>
      </c>
      <c r="I277" s="56"/>
      <c r="J277" s="56">
        <v>0</v>
      </c>
      <c r="K277" s="56">
        <v>0</v>
      </c>
      <c r="L277" s="56">
        <v>0</v>
      </c>
      <c r="M277" s="56"/>
      <c r="N277" s="56"/>
      <c r="O277" s="56">
        <v>0</v>
      </c>
      <c r="P277" s="56">
        <v>0</v>
      </c>
      <c r="Q277" s="56">
        <v>0</v>
      </c>
      <c r="R277" s="56">
        <v>0</v>
      </c>
      <c r="S277" s="67">
        <f>SUM(M277:R277)</f>
        <v>0</v>
      </c>
      <c r="T277" s="56"/>
      <c r="U277" s="56">
        <f>S277</f>
        <v>0</v>
      </c>
      <c r="V277" s="93" t="s">
        <v>60</v>
      </c>
      <c r="W277" s="64">
        <f>U277</f>
        <v>0</v>
      </c>
      <c r="Z277" s="279">
        <f>SUM(M277:R277)-S277</f>
        <v>0</v>
      </c>
    </row>
    <row r="278" spans="1:26">
      <c r="A278" s="68" t="s">
        <v>379</v>
      </c>
      <c r="B278" s="68"/>
      <c r="C278" s="69"/>
      <c r="D278" s="69"/>
      <c r="E278" s="69"/>
      <c r="F278" s="70" t="s">
        <v>411</v>
      </c>
      <c r="G278" s="71">
        <f t="shared" ref="G278:S278" si="68">SUM(G275:G277)</f>
        <v>0</v>
      </c>
      <c r="H278" s="71">
        <f t="shared" si="68"/>
        <v>0</v>
      </c>
      <c r="I278" s="71">
        <f t="shared" si="68"/>
        <v>0</v>
      </c>
      <c r="J278" s="71">
        <f t="shared" si="68"/>
        <v>0</v>
      </c>
      <c r="K278" s="71">
        <f t="shared" si="68"/>
        <v>0</v>
      </c>
      <c r="L278" s="71">
        <f t="shared" si="68"/>
        <v>0</v>
      </c>
      <c r="M278" s="71">
        <f t="shared" si="68"/>
        <v>0</v>
      </c>
      <c r="N278" s="71">
        <f t="shared" si="68"/>
        <v>0</v>
      </c>
      <c r="O278" s="71">
        <f t="shared" si="68"/>
        <v>0</v>
      </c>
      <c r="P278" s="71">
        <f t="shared" si="68"/>
        <v>0</v>
      </c>
      <c r="Q278" s="71">
        <f t="shared" si="68"/>
        <v>0</v>
      </c>
      <c r="R278" s="71">
        <f t="shared" si="68"/>
        <v>0</v>
      </c>
      <c r="S278" s="71">
        <f t="shared" si="68"/>
        <v>0</v>
      </c>
      <c r="T278" s="56"/>
      <c r="U278" s="71">
        <f>SUM(U275:U277)</f>
        <v>0</v>
      </c>
      <c r="V278" s="105" t="s">
        <v>60</v>
      </c>
      <c r="W278" s="71">
        <f>SUM(W275:W277)</f>
        <v>0</v>
      </c>
      <c r="Z278" s="279">
        <f>SUM(M278:R278)-S278</f>
        <v>0</v>
      </c>
    </row>
    <row r="279" spans="1:26" ht="14.25" thickBot="1">
      <c r="A279" s="59"/>
      <c r="B279" s="59"/>
      <c r="C279" s="65"/>
      <c r="D279" s="65"/>
      <c r="E279" s="65"/>
      <c r="F279" s="6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322" t="s">
        <v>412</v>
      </c>
      <c r="V279" s="322"/>
      <c r="W279" s="322"/>
      <c r="Z279" s="279"/>
    </row>
    <row r="280" spans="1:26" s="114" customFormat="1">
      <c r="A280" s="106" t="s">
        <v>413</v>
      </c>
      <c r="B280" s="107"/>
      <c r="C280" s="108"/>
      <c r="D280" s="108"/>
      <c r="E280" s="108"/>
      <c r="F280" s="109" t="s">
        <v>414</v>
      </c>
      <c r="G280" s="110">
        <f t="shared" ref="G280:P280" si="69">G264+G272+G278</f>
        <v>-41282709.10578908</v>
      </c>
      <c r="H280" s="110">
        <f t="shared" si="69"/>
        <v>1559735.6020064079</v>
      </c>
      <c r="I280" s="110">
        <f t="shared" si="69"/>
        <v>0</v>
      </c>
      <c r="J280" s="110">
        <f t="shared" si="69"/>
        <v>882327.76499485865</v>
      </c>
      <c r="K280" s="110">
        <f t="shared" si="69"/>
        <v>0</v>
      </c>
      <c r="L280" s="110">
        <f>L264+L272+L278</f>
        <v>0</v>
      </c>
      <c r="M280" s="110">
        <f t="shared" si="69"/>
        <v>-38840645.738787808</v>
      </c>
      <c r="N280" s="110">
        <f t="shared" si="69"/>
        <v>-43613588.973696128</v>
      </c>
      <c r="O280" s="110">
        <f t="shared" si="69"/>
        <v>83826.176489999998</v>
      </c>
      <c r="P280" s="110">
        <f t="shared" si="69"/>
        <v>-27898.226159999995</v>
      </c>
      <c r="Q280" s="110">
        <f>Q264+Q272+Q278</f>
        <v>0</v>
      </c>
      <c r="R280" s="110">
        <f>R264+R272+R278</f>
        <v>0</v>
      </c>
      <c r="S280" s="110">
        <f>S264+S272+S278</f>
        <v>-82398306.762153953</v>
      </c>
      <c r="T280" s="111" t="s">
        <v>415</v>
      </c>
      <c r="U280" s="112"/>
      <c r="V280" s="112"/>
      <c r="W280" s="113"/>
      <c r="Z280" s="284">
        <f>SUM(M280:R280)-S280</f>
        <v>0</v>
      </c>
    </row>
    <row r="281" spans="1:26" s="114" customFormat="1" ht="14.25" thickBot="1">
      <c r="A281" s="116" t="s">
        <v>416</v>
      </c>
      <c r="B281" s="117"/>
      <c r="C281" s="118"/>
      <c r="D281" s="118"/>
      <c r="E281" s="118"/>
      <c r="F281" s="119" t="s">
        <v>417</v>
      </c>
      <c r="G281" s="120">
        <f>G258</f>
        <v>-6234103.5258481046</v>
      </c>
      <c r="H281" s="120">
        <f t="shared" ref="H281:S281" si="70">H258</f>
        <v>65594.38942366105</v>
      </c>
      <c r="I281" s="120">
        <f t="shared" si="70"/>
        <v>0</v>
      </c>
      <c r="J281" s="120">
        <f t="shared" si="70"/>
        <v>143398.5620051414</v>
      </c>
      <c r="K281" s="120">
        <f t="shared" si="70"/>
        <v>0</v>
      </c>
      <c r="L281" s="120">
        <f>L258</f>
        <v>0</v>
      </c>
      <c r="M281" s="120">
        <f>M258</f>
        <v>-6025110.5744193019</v>
      </c>
      <c r="N281" s="120">
        <f t="shared" si="70"/>
        <v>-623614.20213322074</v>
      </c>
      <c r="O281" s="120">
        <f t="shared" si="70"/>
        <v>15287.4486</v>
      </c>
      <c r="P281" s="120">
        <f t="shared" si="70"/>
        <v>-5087.8223999999991</v>
      </c>
      <c r="Q281" s="120">
        <f t="shared" si="70"/>
        <v>0</v>
      </c>
      <c r="R281" s="120">
        <f t="shared" si="70"/>
        <v>0</v>
      </c>
      <c r="S281" s="120">
        <f t="shared" si="70"/>
        <v>-6638525.1503525227</v>
      </c>
      <c r="T281" s="111" t="s">
        <v>418</v>
      </c>
      <c r="U281" s="112"/>
      <c r="V281" s="112"/>
      <c r="W281" s="113"/>
      <c r="Z281" s="284">
        <f>SUM(M281:R281)-S281</f>
        <v>0</v>
      </c>
    </row>
    <row r="282" spans="1:26" s="114" customFormat="1" ht="15" thickTop="1" thickBot="1">
      <c r="A282" s="121" t="s">
        <v>419</v>
      </c>
      <c r="B282" s="122"/>
      <c r="C282" s="123"/>
      <c r="D282" s="123"/>
      <c r="E282" s="123"/>
      <c r="F282" s="124"/>
      <c r="G282" s="125">
        <f t="shared" ref="G282:S282" si="71">SUM(G280:G281)</f>
        <v>-47516812.631637186</v>
      </c>
      <c r="H282" s="125">
        <f t="shared" si="71"/>
        <v>1625329.9914300689</v>
      </c>
      <c r="I282" s="125">
        <f t="shared" si="71"/>
        <v>0</v>
      </c>
      <c r="J282" s="125">
        <f t="shared" si="71"/>
        <v>1025726.327</v>
      </c>
      <c r="K282" s="125">
        <f t="shared" si="71"/>
        <v>0</v>
      </c>
      <c r="L282" s="125">
        <f>SUM(L280:L281)</f>
        <v>0</v>
      </c>
      <c r="M282" s="125">
        <f t="shared" si="71"/>
        <v>-44865756.313207112</v>
      </c>
      <c r="N282" s="125">
        <f t="shared" si="71"/>
        <v>-44237203.175829351</v>
      </c>
      <c r="O282" s="125">
        <f t="shared" si="71"/>
        <v>99113.625090000001</v>
      </c>
      <c r="P282" s="125">
        <f t="shared" si="71"/>
        <v>-32986.048559999996</v>
      </c>
      <c r="Q282" s="125">
        <f>SUM(Q280:Q281)</f>
        <v>0</v>
      </c>
      <c r="R282" s="125">
        <f>SUM(R280:R281)</f>
        <v>0</v>
      </c>
      <c r="S282" s="125">
        <f t="shared" si="71"/>
        <v>-89036831.912506476</v>
      </c>
      <c r="T282" s="112"/>
      <c r="U282" s="126">
        <f>SUM(U9:U278)/2</f>
        <v>46997629.5270264</v>
      </c>
      <c r="V282" s="126">
        <f>SUM(V9:V278)/2</f>
        <v>136034461.43953285</v>
      </c>
      <c r="W282" s="127">
        <f>U282-V282</f>
        <v>-89036831.912506446</v>
      </c>
      <c r="X282" s="128"/>
      <c r="Z282" s="284">
        <f>SUM(M282:R282)-S282</f>
        <v>0</v>
      </c>
    </row>
    <row r="283" spans="1:26" s="132" customFormat="1" ht="14.25" thickTop="1">
      <c r="A283" s="129"/>
      <c r="B283" s="129"/>
      <c r="C283" s="130"/>
      <c r="D283" s="130"/>
      <c r="E283" s="130"/>
      <c r="F283" s="66"/>
      <c r="G283" s="103" t="s">
        <v>420</v>
      </c>
      <c r="H283" s="103" t="s">
        <v>421</v>
      </c>
      <c r="I283" s="103" t="s">
        <v>422</v>
      </c>
      <c r="J283" s="103" t="s">
        <v>423</v>
      </c>
      <c r="K283" s="103" t="s">
        <v>424</v>
      </c>
      <c r="L283" s="103" t="s">
        <v>425</v>
      </c>
      <c r="M283" s="103" t="s">
        <v>426</v>
      </c>
      <c r="N283" s="103" t="s">
        <v>427</v>
      </c>
      <c r="O283" s="103" t="s">
        <v>428</v>
      </c>
      <c r="P283" s="103" t="s">
        <v>429</v>
      </c>
      <c r="Q283" s="103" t="s">
        <v>430</v>
      </c>
      <c r="R283" s="103" t="s">
        <v>431</v>
      </c>
      <c r="S283" s="103" t="s">
        <v>432</v>
      </c>
      <c r="T283" s="131"/>
      <c r="U283" s="131"/>
      <c r="W283" s="133" t="str">
        <f>IF(W282=S282,"OK","Error in Analysis")</f>
        <v>Error in Analysis</v>
      </c>
    </row>
    <row r="284" spans="1:26" s="132" customFormat="1">
      <c r="A284" s="129"/>
      <c r="B284" s="129"/>
      <c r="C284" s="130"/>
      <c r="D284" s="130"/>
      <c r="E284" s="130"/>
      <c r="F284" s="66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275">
        <f>+'TB @ 123110'!C16</f>
        <v>-89036961</v>
      </c>
      <c r="T284" s="255" t="s">
        <v>793</v>
      </c>
      <c r="U284" s="131"/>
      <c r="V284" s="135" t="s">
        <v>436</v>
      </c>
      <c r="W284" s="136">
        <f>W282-S282</f>
        <v>0</v>
      </c>
    </row>
    <row r="285" spans="1:26">
      <c r="A285" s="59"/>
      <c r="B285" s="59"/>
      <c r="C285" s="65"/>
      <c r="D285" s="65"/>
      <c r="E285" s="65"/>
      <c r="F285" s="56"/>
      <c r="G285" s="82"/>
      <c r="H285" s="6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276">
        <f>+S282-S284</f>
        <v>129.08749352395535</v>
      </c>
      <c r="T285" s="255" t="s">
        <v>768</v>
      </c>
      <c r="U285" s="56"/>
      <c r="V285" s="135"/>
      <c r="W285" s="136"/>
    </row>
    <row r="286" spans="1:26" ht="14.25" thickBot="1">
      <c r="A286" s="59"/>
      <c r="B286" s="59"/>
      <c r="C286" s="65"/>
      <c r="D286" s="65"/>
      <c r="E286" s="65"/>
      <c r="F286" s="267"/>
      <c r="G286" s="140"/>
      <c r="H286" s="141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135"/>
      <c r="W286" s="136"/>
    </row>
    <row r="287" spans="1:26" ht="14.25" customHeight="1" thickBot="1">
      <c r="A287" s="59"/>
      <c r="B287" s="59"/>
      <c r="C287" s="65"/>
      <c r="D287" s="65"/>
      <c r="E287" s="139"/>
      <c r="F287" s="65"/>
      <c r="G287" s="140"/>
      <c r="H287" s="141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142" t="s">
        <v>441</v>
      </c>
      <c r="V287" s="135"/>
      <c r="W287" s="136"/>
    </row>
    <row r="288" spans="1:26" s="144" customFormat="1">
      <c r="A288" s="143"/>
      <c r="B288" s="59"/>
      <c r="C288" s="65"/>
      <c r="D288" s="65"/>
      <c r="E288" s="139"/>
      <c r="F288" s="65"/>
      <c r="G288" s="140"/>
      <c r="H288" s="141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U288" s="104"/>
      <c r="V288" s="104"/>
      <c r="W288" s="104"/>
    </row>
    <row r="289" spans="1:26" ht="12.75">
      <c r="A289" s="59"/>
      <c r="B289" s="59" t="s">
        <v>443</v>
      </c>
      <c r="C289" s="65"/>
      <c r="D289" s="65"/>
      <c r="E289" s="139"/>
      <c r="F289" s="65"/>
      <c r="G289" s="56">
        <f t="shared" ref="G289:S289" si="72">G32*($G305+$G307)</f>
        <v>89373.844994699961</v>
      </c>
      <c r="H289" s="56">
        <f t="shared" si="72"/>
        <v>-0.32899999999999996</v>
      </c>
      <c r="I289" s="56">
        <f t="shared" si="72"/>
        <v>0</v>
      </c>
      <c r="J289" s="56">
        <f t="shared" si="72"/>
        <v>0</v>
      </c>
      <c r="K289" s="56">
        <f t="shared" si="72"/>
        <v>0</v>
      </c>
      <c r="L289" s="56">
        <f t="shared" si="72"/>
        <v>0</v>
      </c>
      <c r="M289" s="56">
        <f t="shared" si="72"/>
        <v>89373.515994699963</v>
      </c>
      <c r="N289" s="56">
        <f t="shared" si="72"/>
        <v>56180.602041666665</v>
      </c>
      <c r="O289" s="56">
        <f t="shared" si="72"/>
        <v>0</v>
      </c>
      <c r="P289" s="56">
        <f t="shared" si="72"/>
        <v>0</v>
      </c>
      <c r="Q289" s="56">
        <f t="shared" si="72"/>
        <v>0</v>
      </c>
      <c r="R289" s="56">
        <f t="shared" si="72"/>
        <v>0</v>
      </c>
      <c r="S289" s="56">
        <f t="shared" si="72"/>
        <v>145554.11803636665</v>
      </c>
      <c r="U289" s="56"/>
      <c r="V289" s="56"/>
      <c r="W289" s="145"/>
    </row>
    <row r="290" spans="1:26" ht="12.75">
      <c r="A290" s="59"/>
      <c r="B290" s="59" t="s">
        <v>444</v>
      </c>
      <c r="C290" s="65"/>
      <c r="D290" s="65"/>
      <c r="E290" s="139"/>
      <c r="F290" s="65"/>
      <c r="G290" s="56">
        <f>G280-G289</f>
        <v>-41372082.950783782</v>
      </c>
      <c r="H290" s="56">
        <f t="shared" ref="H290:S290" si="73">H280-H289</f>
        <v>1559735.9310064078</v>
      </c>
      <c r="I290" s="56">
        <f t="shared" si="73"/>
        <v>0</v>
      </c>
      <c r="J290" s="56">
        <f t="shared" si="73"/>
        <v>882327.76499485865</v>
      </c>
      <c r="K290" s="56">
        <f t="shared" si="73"/>
        <v>0</v>
      </c>
      <c r="L290" s="56">
        <f t="shared" si="73"/>
        <v>0</v>
      </c>
      <c r="M290" s="56">
        <f t="shared" si="73"/>
        <v>-38930019.254782505</v>
      </c>
      <c r="N290" s="56">
        <f t="shared" si="73"/>
        <v>-43669769.575737797</v>
      </c>
      <c r="O290" s="56">
        <f t="shared" si="73"/>
        <v>83826.176489999998</v>
      </c>
      <c r="P290" s="56">
        <f t="shared" si="73"/>
        <v>-27898.226159999995</v>
      </c>
      <c r="Q290" s="56">
        <f t="shared" si="73"/>
        <v>0</v>
      </c>
      <c r="R290" s="56">
        <f t="shared" si="73"/>
        <v>0</v>
      </c>
      <c r="S290" s="56">
        <f t="shared" si="73"/>
        <v>-82543860.880190313</v>
      </c>
      <c r="U290" s="56"/>
      <c r="V290" s="56"/>
      <c r="W290" s="145"/>
    </row>
    <row r="291" spans="1:26" ht="12.75">
      <c r="A291" s="59"/>
      <c r="B291" s="59" t="s">
        <v>445</v>
      </c>
      <c r="C291" s="65"/>
      <c r="D291" s="65"/>
      <c r="E291" s="139"/>
      <c r="F291" s="65"/>
      <c r="G291" s="56">
        <f t="shared" ref="G291:S291" si="74">G32*$G306</f>
        <v>16299.181457999995</v>
      </c>
      <c r="H291" s="56">
        <f t="shared" si="74"/>
        <v>-0.06</v>
      </c>
      <c r="I291" s="56">
        <f t="shared" si="74"/>
        <v>0</v>
      </c>
      <c r="J291" s="56">
        <f t="shared" si="74"/>
        <v>0</v>
      </c>
      <c r="K291" s="56">
        <f t="shared" si="74"/>
        <v>0</v>
      </c>
      <c r="L291" s="56">
        <f t="shared" si="74"/>
        <v>0</v>
      </c>
      <c r="M291" s="56">
        <f t="shared" si="74"/>
        <v>16299.121457999996</v>
      </c>
      <c r="N291" s="56">
        <f t="shared" si="74"/>
        <v>10245.702499999999</v>
      </c>
      <c r="O291" s="56">
        <f t="shared" si="74"/>
        <v>0</v>
      </c>
      <c r="P291" s="56">
        <f t="shared" si="74"/>
        <v>0</v>
      </c>
      <c r="Q291" s="56">
        <f t="shared" si="74"/>
        <v>0</v>
      </c>
      <c r="R291" s="56">
        <f t="shared" si="74"/>
        <v>0</v>
      </c>
      <c r="S291" s="56">
        <f t="shared" si="74"/>
        <v>26544.823957999997</v>
      </c>
      <c r="U291" s="56"/>
      <c r="V291" s="56"/>
      <c r="W291" s="56"/>
    </row>
    <row r="292" spans="1:26" ht="12.75">
      <c r="A292" s="59"/>
      <c r="B292" s="59" t="s">
        <v>446</v>
      </c>
      <c r="C292" s="65"/>
      <c r="D292" s="65"/>
      <c r="E292" s="139"/>
      <c r="F292" s="65"/>
      <c r="G292" s="56">
        <f>G281-G291</f>
        <v>-6250402.7073061047</v>
      </c>
      <c r="H292" s="56">
        <f t="shared" ref="H292:S292" si="75">H281-H291</f>
        <v>65594.449423661048</v>
      </c>
      <c r="I292" s="56">
        <f t="shared" si="75"/>
        <v>0</v>
      </c>
      <c r="J292" s="56">
        <f t="shared" si="75"/>
        <v>143398.5620051414</v>
      </c>
      <c r="K292" s="56">
        <f t="shared" si="75"/>
        <v>0</v>
      </c>
      <c r="L292" s="56">
        <f>L281-L291</f>
        <v>0</v>
      </c>
      <c r="M292" s="56">
        <f t="shared" si="75"/>
        <v>-6041409.6958773015</v>
      </c>
      <c r="N292" s="56">
        <f t="shared" si="75"/>
        <v>-633859.90463322075</v>
      </c>
      <c r="O292" s="56">
        <f t="shared" si="75"/>
        <v>15287.4486</v>
      </c>
      <c r="P292" s="56">
        <f t="shared" si="75"/>
        <v>-5087.8223999999991</v>
      </c>
      <c r="Q292" s="56">
        <f t="shared" si="75"/>
        <v>0</v>
      </c>
      <c r="R292" s="56">
        <f t="shared" si="75"/>
        <v>0</v>
      </c>
      <c r="S292" s="56">
        <f t="shared" si="75"/>
        <v>-6665069.9743105229</v>
      </c>
      <c r="U292" s="56"/>
      <c r="V292" s="135"/>
      <c r="W292" s="73"/>
    </row>
    <row r="293" spans="1:26" ht="12.75">
      <c r="A293" s="59"/>
      <c r="B293" s="59"/>
      <c r="C293" s="65"/>
      <c r="D293" s="65"/>
      <c r="E293" s="139"/>
      <c r="F293" s="65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U293" s="56"/>
      <c r="V293" s="135"/>
      <c r="W293" s="136"/>
    </row>
    <row r="294" spans="1:26" thickBot="1">
      <c r="A294" s="59"/>
      <c r="B294" s="59" t="s">
        <v>10</v>
      </c>
      <c r="C294" s="65"/>
      <c r="D294" s="65"/>
      <c r="E294" s="139"/>
      <c r="F294" s="65"/>
      <c r="G294" s="146">
        <f>SUM(G289:G293)</f>
        <v>-47516812.631637186</v>
      </c>
      <c r="H294" s="146">
        <f t="shared" ref="H294:S294" si="76">SUM(H289:H293)</f>
        <v>1625329.9914300689</v>
      </c>
      <c r="I294" s="146">
        <f t="shared" si="76"/>
        <v>0</v>
      </c>
      <c r="J294" s="146">
        <f t="shared" si="76"/>
        <v>1025726.327</v>
      </c>
      <c r="K294" s="146">
        <f t="shared" si="76"/>
        <v>0</v>
      </c>
      <c r="L294" s="146">
        <f>SUM(L289:L293)</f>
        <v>0</v>
      </c>
      <c r="M294" s="146">
        <f t="shared" si="76"/>
        <v>-44865756.313207105</v>
      </c>
      <c r="N294" s="146">
        <f t="shared" si="76"/>
        <v>-44237203.175829351</v>
      </c>
      <c r="O294" s="146">
        <f t="shared" si="76"/>
        <v>99113.625090000001</v>
      </c>
      <c r="P294" s="146">
        <f t="shared" si="76"/>
        <v>-32986.048559999996</v>
      </c>
      <c r="Q294" s="146">
        <f t="shared" si="76"/>
        <v>0</v>
      </c>
      <c r="R294" s="146">
        <f t="shared" si="76"/>
        <v>0</v>
      </c>
      <c r="S294" s="146">
        <f t="shared" si="76"/>
        <v>-89036831.912506476</v>
      </c>
      <c r="U294" s="56"/>
      <c r="V294" s="135"/>
      <c r="W294" s="136"/>
    </row>
    <row r="295" spans="1:26" ht="14.25" thickTop="1">
      <c r="A295" s="59"/>
      <c r="B295" s="59"/>
      <c r="C295" s="65"/>
      <c r="D295" s="65"/>
      <c r="E295" s="139"/>
      <c r="F295" s="65"/>
      <c r="G295" s="140"/>
      <c r="H295" s="141"/>
      <c r="I295" s="56"/>
      <c r="J295" s="56"/>
      <c r="K295" s="56"/>
      <c r="L295" s="56"/>
      <c r="M295" s="285"/>
      <c r="N295" s="56"/>
      <c r="O295" s="56"/>
      <c r="P295" s="56"/>
      <c r="Q295" s="56"/>
      <c r="R295" s="135"/>
      <c r="S295" s="73" t="str">
        <f>IF((ROUND(S294,0))=(ROUND(S282,0)),"OK","Error in Analysis")</f>
        <v>OK</v>
      </c>
      <c r="U295" s="56"/>
      <c r="V295" s="135"/>
      <c r="W295" s="136"/>
    </row>
    <row r="296" spans="1:26">
      <c r="A296" s="59"/>
      <c r="B296" s="59"/>
      <c r="C296" s="65"/>
      <c r="D296" s="65"/>
      <c r="E296" s="139"/>
      <c r="F296" s="65"/>
      <c r="G296" s="129"/>
      <c r="H296" s="148"/>
      <c r="I296" s="56"/>
      <c r="J296" s="56"/>
      <c r="K296" s="56"/>
      <c r="L296" s="56"/>
      <c r="M296" s="56"/>
      <c r="N296" s="56"/>
      <c r="O296" s="56"/>
      <c r="P296" s="56"/>
      <c r="Q296" s="56"/>
      <c r="R296" s="135" t="s">
        <v>436</v>
      </c>
      <c r="S296" s="136">
        <f>S294-S282</f>
        <v>0</v>
      </c>
      <c r="U296" s="56"/>
      <c r="V296" s="135"/>
      <c r="W296" s="136"/>
    </row>
    <row r="297" spans="1:26">
      <c r="A297" s="59"/>
      <c r="B297" s="59"/>
      <c r="C297" s="65"/>
      <c r="D297" s="65"/>
      <c r="E297" s="139"/>
      <c r="F297" s="65"/>
      <c r="G297" s="149" t="s">
        <v>447</v>
      </c>
      <c r="H297" s="148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U297" s="56"/>
      <c r="V297" s="135"/>
      <c r="W297" s="136"/>
    </row>
    <row r="298" spans="1:26">
      <c r="A298" s="59"/>
      <c r="B298" s="59"/>
      <c r="C298" s="65"/>
      <c r="D298" s="65"/>
      <c r="E298" s="139"/>
      <c r="F298" s="65"/>
      <c r="G298" s="150" t="s">
        <v>448</v>
      </c>
      <c r="H298" s="148"/>
      <c r="I298" s="56"/>
      <c r="J298" s="56">
        <f>J290-((J222*($G305+$G307)))</f>
        <v>945698.74699999997</v>
      </c>
      <c r="K298" s="56"/>
      <c r="L298" s="56"/>
      <c r="M298" s="56"/>
      <c r="N298" s="56"/>
      <c r="O298" s="56"/>
      <c r="P298" s="56"/>
      <c r="Q298" s="56"/>
      <c r="R298" s="56"/>
      <c r="S298" s="56">
        <f>S290-((S222*($G305+$G307)))</f>
        <v>-82833658.231527582</v>
      </c>
      <c r="U298" s="56"/>
      <c r="V298" s="135"/>
      <c r="W298" s="136"/>
    </row>
    <row r="299" spans="1:26">
      <c r="A299" s="59"/>
      <c r="B299" s="59"/>
      <c r="C299" s="65"/>
      <c r="D299" s="65"/>
      <c r="E299" s="139"/>
      <c r="F299" s="65"/>
      <c r="G299" s="150" t="s">
        <v>449</v>
      </c>
      <c r="H299" s="148"/>
      <c r="I299" s="56"/>
      <c r="J299" s="56">
        <f>J292-(J222*$G306)</f>
        <v>154955.58000000002</v>
      </c>
      <c r="K299" s="56"/>
      <c r="L299" s="56"/>
      <c r="M299" s="56"/>
      <c r="N299" s="56"/>
      <c r="O299" s="56"/>
      <c r="P299" s="56"/>
      <c r="Q299" s="56"/>
      <c r="R299" s="56"/>
      <c r="S299" s="56">
        <f>S292-(S222*$G306)</f>
        <v>-6717920.5551015148</v>
      </c>
      <c r="U299" s="56"/>
      <c r="V299" s="135"/>
      <c r="W299" s="136"/>
    </row>
    <row r="300" spans="1:26">
      <c r="A300" s="59"/>
      <c r="B300" s="59"/>
      <c r="C300" s="65"/>
      <c r="D300" s="65"/>
      <c r="E300" s="65"/>
      <c r="F300" s="6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135"/>
      <c r="W300" s="136"/>
    </row>
    <row r="301" spans="1:26">
      <c r="A301" s="59"/>
      <c r="B301" s="59"/>
      <c r="C301" s="65"/>
      <c r="D301" s="65"/>
      <c r="E301" s="65"/>
      <c r="F301" s="6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135"/>
      <c r="W301" s="136"/>
    </row>
    <row r="302" spans="1:26">
      <c r="A302" s="59"/>
      <c r="B302" s="59"/>
      <c r="C302" s="65"/>
      <c r="D302" s="65"/>
      <c r="E302" s="65"/>
      <c r="F302" s="6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135"/>
      <c r="W302" s="136"/>
    </row>
    <row r="303" spans="1:26" ht="14.25" thickBot="1">
      <c r="A303" s="59"/>
      <c r="B303" s="59"/>
      <c r="C303" s="65"/>
      <c r="D303" s="65"/>
      <c r="E303" s="65"/>
      <c r="F303" s="6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135"/>
      <c r="W303" s="136"/>
    </row>
    <row r="304" spans="1:26" ht="14.25" thickBot="1">
      <c r="A304" s="59"/>
      <c r="B304" s="151" t="s">
        <v>450</v>
      </c>
      <c r="C304" s="152"/>
      <c r="D304" s="152"/>
      <c r="E304" s="152"/>
      <c r="F304" s="153"/>
      <c r="G304" s="7" t="s">
        <v>7</v>
      </c>
      <c r="H304" s="7" t="s">
        <v>3</v>
      </c>
      <c r="I304" s="154" t="s">
        <v>451</v>
      </c>
      <c r="R304" s="56"/>
      <c r="T304" s="56"/>
      <c r="U304" s="56"/>
      <c r="X304" s="56"/>
      <c r="Y304" s="56"/>
      <c r="Z304" s="58"/>
    </row>
    <row r="305" spans="1:28">
      <c r="B305" s="155" t="s">
        <v>452</v>
      </c>
      <c r="C305" s="156"/>
      <c r="D305" s="156"/>
      <c r="E305" s="156"/>
      <c r="F305" s="157" t="s">
        <v>453</v>
      </c>
      <c r="G305" s="158">
        <v>0.35</v>
      </c>
      <c r="H305" s="158">
        <v>0.35</v>
      </c>
      <c r="I305" s="159">
        <f>G305-H305</f>
        <v>0</v>
      </c>
      <c r="J305" s="160" t="s">
        <v>454</v>
      </c>
      <c r="V305" s="82"/>
      <c r="W305" s="161"/>
    </row>
    <row r="306" spans="1:28">
      <c r="B306" s="162" t="s">
        <v>455</v>
      </c>
      <c r="C306" s="10"/>
      <c r="D306" s="324" t="s">
        <v>456</v>
      </c>
      <c r="E306" s="325"/>
      <c r="F306" s="163" t="s">
        <v>457</v>
      </c>
      <c r="G306" s="164">
        <v>0.06</v>
      </c>
      <c r="H306" s="164">
        <v>0.06</v>
      </c>
      <c r="I306" s="165">
        <f>G306-H306</f>
        <v>0</v>
      </c>
      <c r="J306" s="160" t="s">
        <v>458</v>
      </c>
      <c r="V306" s="82"/>
      <c r="W306" s="161"/>
    </row>
    <row r="307" spans="1:28">
      <c r="B307" s="162" t="s">
        <v>459</v>
      </c>
      <c r="C307" s="166"/>
      <c r="D307" s="166"/>
      <c r="E307" s="166"/>
      <c r="F307" s="163" t="s">
        <v>460</v>
      </c>
      <c r="G307" s="164">
        <f>-G306*G305</f>
        <v>-2.0999999999999998E-2</v>
      </c>
      <c r="H307" s="164">
        <f>-H306*H305</f>
        <v>-2.0999999999999998E-2</v>
      </c>
      <c r="I307" s="165">
        <f>G307-H307</f>
        <v>0</v>
      </c>
      <c r="J307" s="160" t="s">
        <v>461</v>
      </c>
      <c r="U307" s="58"/>
      <c r="V307" s="56"/>
      <c r="W307" s="161"/>
    </row>
    <row r="308" spans="1:28" ht="14.25" thickBot="1">
      <c r="B308" s="167" t="s">
        <v>462</v>
      </c>
      <c r="C308" s="168"/>
      <c r="D308" s="168"/>
      <c r="E308" s="168"/>
      <c r="F308" s="169"/>
      <c r="G308" s="170">
        <f>SUM(G305:G307)</f>
        <v>0.38899999999999996</v>
      </c>
      <c r="H308" s="170">
        <f>SUM(H305:H307)</f>
        <v>0.38899999999999996</v>
      </c>
      <c r="I308" s="171">
        <f>SUM(I305:I307)</f>
        <v>0</v>
      </c>
      <c r="J308" s="160" t="s">
        <v>463</v>
      </c>
      <c r="Q308" s="172" t="s">
        <v>464</v>
      </c>
      <c r="V308" s="282"/>
      <c r="W308" s="161"/>
    </row>
    <row r="309" spans="1:28" ht="14.25" thickBot="1">
      <c r="V309" s="82"/>
      <c r="W309" s="161"/>
    </row>
    <row r="310" spans="1:28" thickBot="1">
      <c r="A310" s="151" t="s">
        <v>465</v>
      </c>
      <c r="B310" s="173"/>
      <c r="C310" s="174"/>
      <c r="D310" s="174"/>
      <c r="E310" s="175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6"/>
      <c r="T310" s="56"/>
      <c r="U310" s="56"/>
      <c r="W310" s="177" t="s">
        <v>466</v>
      </c>
      <c r="X310" s="135"/>
      <c r="Y310" s="136"/>
    </row>
    <row r="311" spans="1:28">
      <c r="A311" s="178"/>
      <c r="B311" s="166"/>
      <c r="C311" s="179"/>
      <c r="D311" s="286"/>
      <c r="E311" s="139"/>
      <c r="F311" s="287"/>
      <c r="G311" s="182"/>
      <c r="H311" s="112"/>
      <c r="I311" s="288"/>
      <c r="J311" s="288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W311" s="184"/>
      <c r="X311" s="135"/>
      <c r="Y311" s="136"/>
    </row>
    <row r="312" spans="1:28">
      <c r="A312" s="185" t="s">
        <v>467</v>
      </c>
      <c r="B312" s="186"/>
      <c r="C312" s="186"/>
      <c r="D312" s="289"/>
      <c r="E312" s="188"/>
      <c r="F312" s="290"/>
      <c r="G312" s="103"/>
      <c r="H312" s="56"/>
      <c r="I312" s="282"/>
      <c r="J312" s="282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W312" s="190"/>
      <c r="X312" s="135"/>
      <c r="Y312" s="136"/>
    </row>
    <row r="313" spans="1:28" ht="12.75">
      <c r="A313" s="191" t="s">
        <v>468</v>
      </c>
      <c r="B313" s="192"/>
      <c r="C313" s="193"/>
      <c r="D313" s="193" t="s">
        <v>469</v>
      </c>
      <c r="E313" s="194"/>
      <c r="F313" s="291" t="s">
        <v>470</v>
      </c>
      <c r="G313" s="292">
        <f>SUM(G314:G318)</f>
        <v>23357209.732999995</v>
      </c>
      <c r="H313" s="292">
        <f>SUM(H314:H318)</f>
        <v>-0.38899999999999996</v>
      </c>
      <c r="I313" s="292">
        <f t="shared" ref="I313:S313" si="77">SUM(I314:I318)</f>
        <v>5.8207660913467407E-10</v>
      </c>
      <c r="J313" s="292">
        <f>SUM(J314:J318)</f>
        <v>857096.92599999986</v>
      </c>
      <c r="K313" s="292">
        <f t="shared" si="77"/>
        <v>0</v>
      </c>
      <c r="L313" s="292">
        <f t="shared" si="77"/>
        <v>0</v>
      </c>
      <c r="M313" s="292">
        <f>SUM(M314:M318)</f>
        <v>24214306.269999996</v>
      </c>
      <c r="N313" s="292">
        <f t="shared" si="77"/>
        <v>-492574.75099999993</v>
      </c>
      <c r="O313" s="292">
        <f t="shared" si="77"/>
        <v>0</v>
      </c>
      <c r="P313" s="292">
        <f t="shared" si="77"/>
        <v>0</v>
      </c>
      <c r="Q313" s="292">
        <f t="shared" si="77"/>
        <v>0</v>
      </c>
      <c r="R313" s="292">
        <f t="shared" si="77"/>
        <v>0</v>
      </c>
      <c r="S313" s="292">
        <f t="shared" si="77"/>
        <v>23721731.518999998</v>
      </c>
      <c r="T313" s="56"/>
      <c r="U313" s="56"/>
      <c r="W313" s="197"/>
      <c r="X313" s="135"/>
      <c r="Y313" s="136"/>
    </row>
    <row r="314" spans="1:28" ht="12.75">
      <c r="A314" s="198" t="s">
        <v>471</v>
      </c>
      <c r="B314" s="199"/>
      <c r="C314" s="18"/>
      <c r="D314" s="18" t="s">
        <v>196</v>
      </c>
      <c r="E314" s="139">
        <f>G308</f>
        <v>0.38899999999999996</v>
      </c>
      <c r="F314" s="287"/>
      <c r="G314" s="286">
        <f t="shared" ref="G314:H319" si="78">SUMIF($E$11:$E$282,$D314,G$11:G$282)*$W314</f>
        <v>23357209.732999995</v>
      </c>
      <c r="H314" s="286">
        <f t="shared" si="78"/>
        <v>-0.38899999999999996</v>
      </c>
      <c r="I314" s="286">
        <f t="shared" ref="I314:I319" si="79">M314-G314-H314-J314-K314-L314</f>
        <v>5.8207660913467407E-10</v>
      </c>
      <c r="J314" s="286">
        <f t="shared" ref="J314:J319" si="80">SUMIF($E$11:$E$282,$D314,J$11:J$282)*$W314</f>
        <v>857096.92599999986</v>
      </c>
      <c r="K314" s="286">
        <f t="shared" ref="K314:S319" si="81">SUMIF($E$11:$E$282,$D314,K$11:K$282)*$E314</f>
        <v>0</v>
      </c>
      <c r="L314" s="286">
        <f t="shared" si="81"/>
        <v>0</v>
      </c>
      <c r="M314" s="286">
        <f t="shared" si="81"/>
        <v>24214306.269999996</v>
      </c>
      <c r="N314" s="286">
        <f t="shared" si="81"/>
        <v>-492574.75099999993</v>
      </c>
      <c r="O314" s="286">
        <f t="shared" si="81"/>
        <v>0</v>
      </c>
      <c r="P314" s="286">
        <f t="shared" si="81"/>
        <v>0</v>
      </c>
      <c r="Q314" s="286">
        <f t="shared" si="81"/>
        <v>0</v>
      </c>
      <c r="R314" s="286">
        <f t="shared" si="81"/>
        <v>0</v>
      </c>
      <c r="S314" s="286">
        <f t="shared" si="81"/>
        <v>23721731.518999998</v>
      </c>
      <c r="T314" s="56"/>
      <c r="U314" s="56">
        <f t="shared" ref="U314:U319" si="82">M314/E314</f>
        <v>62247573.958868891</v>
      </c>
      <c r="W314" s="184">
        <f>H308</f>
        <v>0.38899999999999996</v>
      </c>
      <c r="X314" s="135"/>
      <c r="Y314" s="136"/>
    </row>
    <row r="315" spans="1:28" ht="12.75">
      <c r="A315" s="198" t="s">
        <v>472</v>
      </c>
      <c r="B315" s="199"/>
      <c r="C315" s="18"/>
      <c r="D315" s="18" t="s">
        <v>473</v>
      </c>
      <c r="E315" s="139">
        <f>$E$314</f>
        <v>0.38899999999999996</v>
      </c>
      <c r="F315" s="287"/>
      <c r="G315" s="286">
        <f t="shared" si="78"/>
        <v>0</v>
      </c>
      <c r="H315" s="286">
        <f t="shared" si="78"/>
        <v>0</v>
      </c>
      <c r="I315" s="286">
        <f t="shared" si="79"/>
        <v>0</v>
      </c>
      <c r="J315" s="286">
        <f t="shared" si="80"/>
        <v>0</v>
      </c>
      <c r="K315" s="286">
        <f t="shared" si="81"/>
        <v>0</v>
      </c>
      <c r="L315" s="286">
        <f t="shared" si="81"/>
        <v>0</v>
      </c>
      <c r="M315" s="286">
        <f t="shared" si="81"/>
        <v>0</v>
      </c>
      <c r="N315" s="286">
        <f t="shared" si="81"/>
        <v>0</v>
      </c>
      <c r="O315" s="286">
        <f t="shared" si="81"/>
        <v>0</v>
      </c>
      <c r="P315" s="286">
        <f t="shared" si="81"/>
        <v>0</v>
      </c>
      <c r="Q315" s="286">
        <f t="shared" si="81"/>
        <v>0</v>
      </c>
      <c r="R315" s="286">
        <f t="shared" si="81"/>
        <v>0</v>
      </c>
      <c r="S315" s="286">
        <f t="shared" si="81"/>
        <v>0</v>
      </c>
      <c r="T315" s="56"/>
      <c r="U315" s="56">
        <f t="shared" si="82"/>
        <v>0</v>
      </c>
      <c r="W315" s="184">
        <f>$W$314</f>
        <v>0.38899999999999996</v>
      </c>
      <c r="X315" s="135"/>
      <c r="Y315" s="136"/>
    </row>
    <row r="316" spans="1:28" ht="12.75">
      <c r="A316" s="198" t="s">
        <v>474</v>
      </c>
      <c r="B316" s="199"/>
      <c r="C316" s="18"/>
      <c r="D316" s="18" t="s">
        <v>475</v>
      </c>
      <c r="E316" s="139">
        <f>$E$314</f>
        <v>0.38899999999999996</v>
      </c>
      <c r="F316" s="287"/>
      <c r="G316" s="286">
        <f t="shared" si="78"/>
        <v>0</v>
      </c>
      <c r="H316" s="286">
        <f t="shared" si="78"/>
        <v>0</v>
      </c>
      <c r="I316" s="286">
        <f t="shared" si="79"/>
        <v>0</v>
      </c>
      <c r="J316" s="286">
        <f t="shared" si="80"/>
        <v>0</v>
      </c>
      <c r="K316" s="286">
        <f t="shared" si="81"/>
        <v>0</v>
      </c>
      <c r="L316" s="286">
        <f t="shared" si="81"/>
        <v>0</v>
      </c>
      <c r="M316" s="286">
        <f t="shared" si="81"/>
        <v>0</v>
      </c>
      <c r="N316" s="286">
        <f t="shared" si="81"/>
        <v>0</v>
      </c>
      <c r="O316" s="286">
        <f t="shared" si="81"/>
        <v>0</v>
      </c>
      <c r="P316" s="286">
        <f t="shared" si="81"/>
        <v>0</v>
      </c>
      <c r="Q316" s="286">
        <f t="shared" si="81"/>
        <v>0</v>
      </c>
      <c r="R316" s="286">
        <f t="shared" si="81"/>
        <v>0</v>
      </c>
      <c r="S316" s="286">
        <f t="shared" si="81"/>
        <v>0</v>
      </c>
      <c r="T316" s="56"/>
      <c r="U316" s="56">
        <f t="shared" si="82"/>
        <v>0</v>
      </c>
      <c r="W316" s="184">
        <f>$W$314</f>
        <v>0.38899999999999996</v>
      </c>
      <c r="X316" s="135"/>
      <c r="Y316" s="136"/>
    </row>
    <row r="317" spans="1:28" ht="12.75">
      <c r="A317" s="198" t="s">
        <v>476</v>
      </c>
      <c r="B317" s="199"/>
      <c r="C317" s="18"/>
      <c r="D317" s="18" t="s">
        <v>477</v>
      </c>
      <c r="E317" s="139">
        <f>$E$314</f>
        <v>0.38899999999999996</v>
      </c>
      <c r="F317" s="287"/>
      <c r="G317" s="286">
        <f t="shared" si="78"/>
        <v>0</v>
      </c>
      <c r="H317" s="286">
        <f t="shared" si="78"/>
        <v>0</v>
      </c>
      <c r="I317" s="286">
        <f t="shared" si="79"/>
        <v>0</v>
      </c>
      <c r="J317" s="286">
        <f t="shared" si="80"/>
        <v>0</v>
      </c>
      <c r="K317" s="286">
        <f t="shared" si="81"/>
        <v>0</v>
      </c>
      <c r="L317" s="286">
        <f t="shared" si="81"/>
        <v>0</v>
      </c>
      <c r="M317" s="286">
        <f t="shared" si="81"/>
        <v>0</v>
      </c>
      <c r="N317" s="286">
        <f t="shared" si="81"/>
        <v>0</v>
      </c>
      <c r="O317" s="286">
        <f t="shared" si="81"/>
        <v>0</v>
      </c>
      <c r="P317" s="286">
        <f t="shared" si="81"/>
        <v>0</v>
      </c>
      <c r="Q317" s="286">
        <f t="shared" si="81"/>
        <v>0</v>
      </c>
      <c r="R317" s="286">
        <f t="shared" si="81"/>
        <v>0</v>
      </c>
      <c r="S317" s="286">
        <f t="shared" si="81"/>
        <v>0</v>
      </c>
      <c r="T317" s="56"/>
      <c r="U317" s="56">
        <f t="shared" si="82"/>
        <v>0</v>
      </c>
      <c r="W317" s="184">
        <f>$W$314</f>
        <v>0.38899999999999996</v>
      </c>
      <c r="X317" s="135"/>
      <c r="Y317" s="136"/>
    </row>
    <row r="318" spans="1:28" ht="12.75">
      <c r="A318" s="200" t="s">
        <v>478</v>
      </c>
      <c r="B318" s="199"/>
      <c r="C318" s="201"/>
      <c r="D318" s="201"/>
      <c r="E318" s="139">
        <f>$E$314</f>
        <v>0.38899999999999996</v>
      </c>
      <c r="F318" s="287"/>
      <c r="G318" s="286">
        <f t="shared" si="78"/>
        <v>0</v>
      </c>
      <c r="H318" s="286">
        <f t="shared" si="78"/>
        <v>0</v>
      </c>
      <c r="I318" s="286">
        <f t="shared" si="79"/>
        <v>0</v>
      </c>
      <c r="J318" s="286">
        <f t="shared" si="80"/>
        <v>0</v>
      </c>
      <c r="K318" s="286">
        <f t="shared" si="81"/>
        <v>0</v>
      </c>
      <c r="L318" s="286">
        <f t="shared" si="81"/>
        <v>0</v>
      </c>
      <c r="M318" s="286">
        <f t="shared" si="81"/>
        <v>0</v>
      </c>
      <c r="N318" s="286">
        <f t="shared" si="81"/>
        <v>0</v>
      </c>
      <c r="O318" s="286">
        <f t="shared" si="81"/>
        <v>0</v>
      </c>
      <c r="P318" s="286">
        <f t="shared" si="81"/>
        <v>0</v>
      </c>
      <c r="Q318" s="286">
        <f t="shared" si="81"/>
        <v>0</v>
      </c>
      <c r="R318" s="286">
        <f t="shared" si="81"/>
        <v>0</v>
      </c>
      <c r="S318" s="286">
        <f t="shared" si="81"/>
        <v>0</v>
      </c>
      <c r="T318" s="56"/>
      <c r="U318" s="56">
        <f t="shared" si="82"/>
        <v>0</v>
      </c>
      <c r="W318" s="184">
        <f>$W$314</f>
        <v>0.38899999999999996</v>
      </c>
      <c r="X318" s="135"/>
      <c r="Y318" s="136"/>
    </row>
    <row r="319" spans="1:28" ht="12.75">
      <c r="A319" s="191" t="s">
        <v>479</v>
      </c>
      <c r="B319" s="192"/>
      <c r="C319" s="193"/>
      <c r="D319" s="193" t="s">
        <v>316</v>
      </c>
      <c r="E319" s="194">
        <f>$E$314</f>
        <v>0.38899999999999996</v>
      </c>
      <c r="F319" s="291" t="s">
        <v>470</v>
      </c>
      <c r="G319" s="292">
        <f t="shared" si="78"/>
        <v>407756.27684999997</v>
      </c>
      <c r="H319" s="292">
        <f t="shared" si="78"/>
        <v>0</v>
      </c>
      <c r="I319" s="292">
        <f t="shared" si="79"/>
        <v>0</v>
      </c>
      <c r="J319" s="292">
        <f t="shared" si="80"/>
        <v>0</v>
      </c>
      <c r="K319" s="292">
        <f t="shared" si="81"/>
        <v>0</v>
      </c>
      <c r="L319" s="292">
        <f t="shared" si="81"/>
        <v>0</v>
      </c>
      <c r="M319" s="292">
        <f t="shared" si="81"/>
        <v>407756.27684999997</v>
      </c>
      <c r="N319" s="292">
        <f t="shared" si="81"/>
        <v>0</v>
      </c>
      <c r="O319" s="292">
        <f t="shared" si="81"/>
        <v>0</v>
      </c>
      <c r="P319" s="292">
        <f t="shared" si="81"/>
        <v>-32986.048559999996</v>
      </c>
      <c r="Q319" s="292">
        <f t="shared" si="81"/>
        <v>0</v>
      </c>
      <c r="R319" s="292">
        <f t="shared" si="81"/>
        <v>0</v>
      </c>
      <c r="S319" s="292">
        <f t="shared" si="81"/>
        <v>374770.22828999994</v>
      </c>
      <c r="T319" s="56"/>
      <c r="U319" s="56">
        <f t="shared" si="82"/>
        <v>1048216.65</v>
      </c>
      <c r="W319" s="197">
        <f>$W$314</f>
        <v>0.38899999999999996</v>
      </c>
      <c r="X319" s="135"/>
      <c r="Y319" s="136"/>
    </row>
    <row r="320" spans="1:28" ht="12.75">
      <c r="A320" s="191" t="s">
        <v>480</v>
      </c>
      <c r="B320" s="192"/>
      <c r="C320" s="193"/>
      <c r="D320" s="193" t="s">
        <v>481</v>
      </c>
      <c r="E320" s="194"/>
      <c r="F320" s="291" t="s">
        <v>470</v>
      </c>
      <c r="G320" s="292">
        <f>SUM(G321:G323)</f>
        <v>578074.26689999993</v>
      </c>
      <c r="H320" s="292">
        <f>SUM(H321:H323)</f>
        <v>-16905.200899999996</v>
      </c>
      <c r="I320" s="292">
        <f t="shared" ref="I320:S320" si="83">SUM(I321:I323)</f>
        <v>1.8189894035458565E-11</v>
      </c>
      <c r="J320" s="292">
        <f>SUM(J321:J323)</f>
        <v>-29970.115999999998</v>
      </c>
      <c r="K320" s="292">
        <f t="shared" si="83"/>
        <v>0</v>
      </c>
      <c r="L320" s="292">
        <f t="shared" si="83"/>
        <v>0</v>
      </c>
      <c r="M320" s="292">
        <f>SUM(M321:M323)</f>
        <v>531198.94999999995</v>
      </c>
      <c r="N320" s="292">
        <f t="shared" si="83"/>
        <v>52131.601037892578</v>
      </c>
      <c r="O320" s="292">
        <f t="shared" si="83"/>
        <v>0</v>
      </c>
      <c r="P320" s="292">
        <f t="shared" si="83"/>
        <v>0</v>
      </c>
      <c r="Q320" s="292">
        <f t="shared" si="83"/>
        <v>0</v>
      </c>
      <c r="R320" s="292">
        <f t="shared" si="83"/>
        <v>0</v>
      </c>
      <c r="S320" s="292">
        <f t="shared" si="83"/>
        <v>583330.55103789247</v>
      </c>
      <c r="T320" s="56"/>
      <c r="U320" s="56"/>
      <c r="W320" s="197"/>
      <c r="Z320" s="56"/>
      <c r="AA320" s="56"/>
      <c r="AB320" s="58"/>
    </row>
    <row r="321" spans="1:25" ht="12.75">
      <c r="A321" s="198" t="s">
        <v>482</v>
      </c>
      <c r="B321" s="199"/>
      <c r="C321" s="18"/>
      <c r="D321" s="18" t="s">
        <v>173</v>
      </c>
      <c r="E321" s="139">
        <f>$E$314</f>
        <v>0.38899999999999996</v>
      </c>
      <c r="F321" s="287"/>
      <c r="G321" s="286">
        <f t="shared" ref="G321:H323" si="84">SUMIF($E$11:$E$282,$D321,G$11:G$282)*$W321</f>
        <v>237345.29245999997</v>
      </c>
      <c r="H321" s="286">
        <f t="shared" si="84"/>
        <v>-16905.200899999996</v>
      </c>
      <c r="I321" s="286">
        <f>M321-G321-H321-J321-K321-L321</f>
        <v>1.8189894035458565E-11</v>
      </c>
      <c r="J321" s="286">
        <f>SUMIF($E$11:$E$282,$D321,J$11:J$282)*$W321</f>
        <v>-29970.115999999998</v>
      </c>
      <c r="K321" s="286">
        <f t="shared" ref="K321:S323" si="85">SUMIF($E$11:$E$282,$D321,K$11:K$282)*$E321</f>
        <v>0</v>
      </c>
      <c r="L321" s="286">
        <f t="shared" si="85"/>
        <v>0</v>
      </c>
      <c r="M321" s="286">
        <f t="shared" si="85"/>
        <v>190469.97555999999</v>
      </c>
      <c r="N321" s="286">
        <f t="shared" si="85"/>
        <v>52131.601037892578</v>
      </c>
      <c r="O321" s="286">
        <f t="shared" si="85"/>
        <v>0</v>
      </c>
      <c r="P321" s="286">
        <f t="shared" si="85"/>
        <v>0</v>
      </c>
      <c r="Q321" s="286">
        <f t="shared" si="85"/>
        <v>0</v>
      </c>
      <c r="R321" s="286">
        <f t="shared" si="85"/>
        <v>0</v>
      </c>
      <c r="S321" s="286">
        <f t="shared" si="85"/>
        <v>242601.57659789256</v>
      </c>
      <c r="U321" s="56">
        <f>M321/E321</f>
        <v>489640.04000000004</v>
      </c>
      <c r="W321" s="184">
        <f>$W$314</f>
        <v>0.38899999999999996</v>
      </c>
      <c r="X321" s="82"/>
      <c r="Y321" s="161"/>
    </row>
    <row r="322" spans="1:25" ht="12.75">
      <c r="A322" s="198" t="s">
        <v>483</v>
      </c>
      <c r="B322" s="199"/>
      <c r="C322" s="18"/>
      <c r="D322" s="18" t="s">
        <v>211</v>
      </c>
      <c r="E322" s="139">
        <f>$E$314</f>
        <v>0.38899999999999996</v>
      </c>
      <c r="F322" s="287"/>
      <c r="G322" s="286">
        <f t="shared" si="84"/>
        <v>340728.97443999996</v>
      </c>
      <c r="H322" s="286">
        <f t="shared" si="84"/>
        <v>0</v>
      </c>
      <c r="I322" s="286">
        <f>M322-G322-H322-J322-K322-L322</f>
        <v>0</v>
      </c>
      <c r="J322" s="286">
        <f>SUMIF($E$11:$E$282,$D322,J$11:J$282)*$W322</f>
        <v>0</v>
      </c>
      <c r="K322" s="286">
        <f t="shared" si="85"/>
        <v>0</v>
      </c>
      <c r="L322" s="286">
        <f t="shared" si="85"/>
        <v>0</v>
      </c>
      <c r="M322" s="286">
        <f t="shared" si="85"/>
        <v>340728.97443999996</v>
      </c>
      <c r="N322" s="286">
        <f t="shared" si="85"/>
        <v>0</v>
      </c>
      <c r="O322" s="286">
        <f t="shared" si="85"/>
        <v>0</v>
      </c>
      <c r="P322" s="286">
        <f t="shared" si="85"/>
        <v>0</v>
      </c>
      <c r="Q322" s="286">
        <f t="shared" si="85"/>
        <v>0</v>
      </c>
      <c r="R322" s="286">
        <f t="shared" si="85"/>
        <v>0</v>
      </c>
      <c r="S322" s="286">
        <f t="shared" si="85"/>
        <v>340728.97443999996</v>
      </c>
      <c r="U322" s="56">
        <f>M322/E322</f>
        <v>875909.96</v>
      </c>
      <c r="W322" s="184">
        <f>$W$314</f>
        <v>0.38899999999999996</v>
      </c>
      <c r="X322" s="82"/>
      <c r="Y322" s="161"/>
    </row>
    <row r="323" spans="1:25" ht="12.75">
      <c r="A323" s="198" t="s">
        <v>484</v>
      </c>
      <c r="B323" s="199"/>
      <c r="C323" s="18"/>
      <c r="D323" s="18" t="s">
        <v>485</v>
      </c>
      <c r="E323" s="139">
        <f>$E$314</f>
        <v>0.38899999999999996</v>
      </c>
      <c r="F323" s="287"/>
      <c r="G323" s="286">
        <f t="shared" si="84"/>
        <v>0</v>
      </c>
      <c r="H323" s="286">
        <f t="shared" si="84"/>
        <v>0</v>
      </c>
      <c r="I323" s="286">
        <f>M323-G323-H323-J323-K323-L323</f>
        <v>0</v>
      </c>
      <c r="J323" s="286">
        <f>SUMIF($E$11:$E$282,$D323,J$11:J$282)*$W323</f>
        <v>0</v>
      </c>
      <c r="K323" s="286">
        <f t="shared" si="85"/>
        <v>0</v>
      </c>
      <c r="L323" s="286">
        <f t="shared" si="85"/>
        <v>0</v>
      </c>
      <c r="M323" s="286">
        <f t="shared" si="85"/>
        <v>0</v>
      </c>
      <c r="N323" s="286">
        <f t="shared" si="85"/>
        <v>0</v>
      </c>
      <c r="O323" s="286">
        <f t="shared" si="85"/>
        <v>0</v>
      </c>
      <c r="P323" s="286">
        <f t="shared" si="85"/>
        <v>0</v>
      </c>
      <c r="Q323" s="286">
        <f t="shared" si="85"/>
        <v>0</v>
      </c>
      <c r="R323" s="286">
        <f t="shared" si="85"/>
        <v>0</v>
      </c>
      <c r="S323" s="286">
        <f t="shared" si="85"/>
        <v>0</v>
      </c>
      <c r="U323" s="56">
        <f>M323/E323</f>
        <v>0</v>
      </c>
      <c r="W323" s="184">
        <f>$W$314</f>
        <v>0.38899999999999996</v>
      </c>
      <c r="X323" s="56"/>
      <c r="Y323" s="161"/>
    </row>
    <row r="324" spans="1:25" ht="12.75">
      <c r="A324" s="191" t="s">
        <v>486</v>
      </c>
      <c r="B324" s="193"/>
      <c r="C324" s="193"/>
      <c r="D324" s="193" t="s">
        <v>487</v>
      </c>
      <c r="E324" s="194"/>
      <c r="F324" s="291" t="s">
        <v>470</v>
      </c>
      <c r="G324" s="292">
        <f>SUM(G325:G337)</f>
        <v>283169.96499999997</v>
      </c>
      <c r="H324" s="292">
        <f>SUM(H325:H337)</f>
        <v>50572.549999999996</v>
      </c>
      <c r="I324" s="292">
        <f t="shared" ref="I324:S324" si="86">SUM(I325:I337)</f>
        <v>0</v>
      </c>
      <c r="J324" s="292">
        <f>SUM(J325:J337)</f>
        <v>0</v>
      </c>
      <c r="K324" s="292">
        <f t="shared" si="86"/>
        <v>0</v>
      </c>
      <c r="L324" s="292">
        <f t="shared" si="86"/>
        <v>0</v>
      </c>
      <c r="M324" s="292">
        <f>SUM(M325:M337)</f>
        <v>333742.51500000001</v>
      </c>
      <c r="N324" s="292">
        <f t="shared" si="86"/>
        <v>0</v>
      </c>
      <c r="O324" s="292">
        <f t="shared" si="86"/>
        <v>0</v>
      </c>
      <c r="P324" s="292">
        <f t="shared" si="86"/>
        <v>0</v>
      </c>
      <c r="Q324" s="292">
        <f t="shared" si="86"/>
        <v>0</v>
      </c>
      <c r="R324" s="292">
        <f t="shared" si="86"/>
        <v>0</v>
      </c>
      <c r="S324" s="292">
        <f t="shared" si="86"/>
        <v>333742.51500000001</v>
      </c>
      <c r="U324" s="56"/>
      <c r="W324" s="197"/>
      <c r="X324" s="56"/>
      <c r="Y324" s="161"/>
    </row>
    <row r="325" spans="1:25" ht="12.75">
      <c r="A325" s="198" t="s">
        <v>488</v>
      </c>
      <c r="C325" s="199" t="s">
        <v>489</v>
      </c>
      <c r="D325" s="18" t="s">
        <v>325</v>
      </c>
      <c r="E325" s="139">
        <f>G305</f>
        <v>0.35</v>
      </c>
      <c r="F325" s="287"/>
      <c r="G325" s="286">
        <f t="shared" ref="G325:H337" si="87">SUMIF($E$11:$E$282,$D325,G$11:G$282)*$W325</f>
        <v>202512.44999999998</v>
      </c>
      <c r="H325" s="286">
        <f t="shared" si="87"/>
        <v>0</v>
      </c>
      <c r="I325" s="286">
        <f t="shared" ref="I325:I337" si="88">M325-G325-H325-J325-K325-L325</f>
        <v>0</v>
      </c>
      <c r="J325" s="286">
        <f t="shared" ref="J325:J337" si="89">SUMIF($E$11:$E$282,$D325,J$11:J$282)*$W325</f>
        <v>0</v>
      </c>
      <c r="K325" s="286">
        <f t="shared" ref="K325:S337" si="90">SUMIF($E$11:$E$282,$D325,K$11:K$282)*$E325</f>
        <v>0</v>
      </c>
      <c r="L325" s="286">
        <f t="shared" si="90"/>
        <v>0</v>
      </c>
      <c r="M325" s="286">
        <f t="shared" si="90"/>
        <v>202512.44999999998</v>
      </c>
      <c r="N325" s="286">
        <f t="shared" si="90"/>
        <v>0</v>
      </c>
      <c r="O325" s="286">
        <f t="shared" si="90"/>
        <v>0</v>
      </c>
      <c r="P325" s="286">
        <f t="shared" si="90"/>
        <v>0</v>
      </c>
      <c r="Q325" s="286">
        <f t="shared" si="90"/>
        <v>0</v>
      </c>
      <c r="R325" s="286">
        <f t="shared" si="90"/>
        <v>0</v>
      </c>
      <c r="S325" s="286">
        <f t="shared" si="90"/>
        <v>202512.44999999998</v>
      </c>
      <c r="U325" s="56">
        <f t="shared" ref="U325:U337" si="91">M325/E325</f>
        <v>578607</v>
      </c>
      <c r="W325" s="184">
        <v>0.35</v>
      </c>
      <c r="X325" s="56"/>
      <c r="Y325" s="161"/>
    </row>
    <row r="326" spans="1:25" ht="12.75">
      <c r="A326" s="198" t="s">
        <v>490</v>
      </c>
      <c r="C326" s="199" t="s">
        <v>489</v>
      </c>
      <c r="D326" s="18" t="s">
        <v>347</v>
      </c>
      <c r="E326" s="139">
        <f>$E$325</f>
        <v>0.35</v>
      </c>
      <c r="F326" s="287"/>
      <c r="G326" s="286">
        <f t="shared" si="87"/>
        <v>0</v>
      </c>
      <c r="H326" s="286">
        <f t="shared" si="87"/>
        <v>0</v>
      </c>
      <c r="I326" s="286">
        <f t="shared" si="88"/>
        <v>0</v>
      </c>
      <c r="J326" s="286">
        <f t="shared" si="89"/>
        <v>0</v>
      </c>
      <c r="K326" s="286">
        <f t="shared" si="90"/>
        <v>0</v>
      </c>
      <c r="L326" s="286">
        <f t="shared" si="90"/>
        <v>0</v>
      </c>
      <c r="M326" s="286">
        <f t="shared" si="90"/>
        <v>0</v>
      </c>
      <c r="N326" s="286">
        <f t="shared" si="90"/>
        <v>0</v>
      </c>
      <c r="O326" s="286">
        <f t="shared" si="90"/>
        <v>0</v>
      </c>
      <c r="P326" s="286">
        <f t="shared" si="90"/>
        <v>0</v>
      </c>
      <c r="Q326" s="286">
        <f t="shared" si="90"/>
        <v>0</v>
      </c>
      <c r="R326" s="286">
        <f t="shared" si="90"/>
        <v>0</v>
      </c>
      <c r="S326" s="286">
        <f t="shared" si="90"/>
        <v>0</v>
      </c>
      <c r="U326" s="56">
        <f t="shared" si="91"/>
        <v>0</v>
      </c>
      <c r="W326" s="184">
        <f>$E$325</f>
        <v>0.35</v>
      </c>
      <c r="X326" s="56"/>
      <c r="Y326" s="161"/>
    </row>
    <row r="327" spans="1:25" ht="12.75">
      <c r="A327" s="198" t="s">
        <v>491</v>
      </c>
      <c r="C327" s="202" t="s">
        <v>492</v>
      </c>
      <c r="D327" s="18" t="s">
        <v>400</v>
      </c>
      <c r="E327" s="139">
        <v>1</v>
      </c>
      <c r="F327" s="287"/>
      <c r="G327" s="286">
        <f t="shared" si="87"/>
        <v>0</v>
      </c>
      <c r="H327" s="286">
        <f t="shared" si="87"/>
        <v>0</v>
      </c>
      <c r="I327" s="286">
        <f t="shared" si="88"/>
        <v>0</v>
      </c>
      <c r="J327" s="286">
        <f t="shared" si="89"/>
        <v>0</v>
      </c>
      <c r="K327" s="286">
        <f t="shared" si="90"/>
        <v>0</v>
      </c>
      <c r="L327" s="286">
        <f t="shared" si="90"/>
        <v>0</v>
      </c>
      <c r="M327" s="286">
        <f t="shared" si="90"/>
        <v>0</v>
      </c>
      <c r="N327" s="286">
        <f t="shared" si="90"/>
        <v>0</v>
      </c>
      <c r="O327" s="286">
        <f t="shared" si="90"/>
        <v>0</v>
      </c>
      <c r="P327" s="286">
        <f t="shared" si="90"/>
        <v>0</v>
      </c>
      <c r="Q327" s="286">
        <f t="shared" si="90"/>
        <v>0</v>
      </c>
      <c r="R327" s="286">
        <f t="shared" si="90"/>
        <v>0</v>
      </c>
      <c r="S327" s="286">
        <f t="shared" si="90"/>
        <v>0</v>
      </c>
      <c r="U327" s="56">
        <f t="shared" si="91"/>
        <v>0</v>
      </c>
      <c r="W327" s="184">
        <v>1</v>
      </c>
      <c r="X327" s="56"/>
      <c r="Y327" s="161"/>
    </row>
    <row r="328" spans="1:25" ht="12.75">
      <c r="A328" s="198" t="s">
        <v>493</v>
      </c>
      <c r="C328" s="202" t="s">
        <v>492</v>
      </c>
      <c r="D328" s="18" t="s">
        <v>494</v>
      </c>
      <c r="E328" s="139">
        <v>1</v>
      </c>
      <c r="F328" s="287"/>
      <c r="G328" s="286">
        <f t="shared" si="87"/>
        <v>0</v>
      </c>
      <c r="H328" s="286">
        <f t="shared" si="87"/>
        <v>0</v>
      </c>
      <c r="I328" s="286">
        <f t="shared" si="88"/>
        <v>0</v>
      </c>
      <c r="J328" s="286">
        <f t="shared" si="89"/>
        <v>0</v>
      </c>
      <c r="K328" s="286">
        <f t="shared" si="90"/>
        <v>0</v>
      </c>
      <c r="L328" s="286">
        <f t="shared" si="90"/>
        <v>0</v>
      </c>
      <c r="M328" s="286">
        <f t="shared" si="90"/>
        <v>0</v>
      </c>
      <c r="N328" s="286">
        <f t="shared" si="90"/>
        <v>0</v>
      </c>
      <c r="O328" s="286">
        <f t="shared" si="90"/>
        <v>0</v>
      </c>
      <c r="P328" s="286">
        <f t="shared" si="90"/>
        <v>0</v>
      </c>
      <c r="Q328" s="286">
        <f t="shared" si="90"/>
        <v>0</v>
      </c>
      <c r="R328" s="286">
        <f t="shared" si="90"/>
        <v>0</v>
      </c>
      <c r="S328" s="286">
        <f t="shared" si="90"/>
        <v>0</v>
      </c>
      <c r="U328" s="56">
        <f t="shared" si="91"/>
        <v>0</v>
      </c>
      <c r="W328" s="184">
        <v>1</v>
      </c>
      <c r="X328" s="56"/>
      <c r="Y328" s="161"/>
    </row>
    <row r="329" spans="1:25" ht="12.75">
      <c r="A329" s="198" t="s">
        <v>495</v>
      </c>
      <c r="C329" s="199" t="s">
        <v>489</v>
      </c>
      <c r="D329" s="18" t="s">
        <v>330</v>
      </c>
      <c r="E329" s="139">
        <f>$E$325</f>
        <v>0.35</v>
      </c>
      <c r="F329" s="287"/>
      <c r="G329" s="286">
        <f t="shared" si="87"/>
        <v>57797.249999999993</v>
      </c>
      <c r="H329" s="286">
        <f t="shared" si="87"/>
        <v>50572.549999999996</v>
      </c>
      <c r="I329" s="286">
        <f t="shared" si="88"/>
        <v>0</v>
      </c>
      <c r="J329" s="286">
        <f t="shared" si="89"/>
        <v>0</v>
      </c>
      <c r="K329" s="286">
        <f t="shared" si="90"/>
        <v>0</v>
      </c>
      <c r="L329" s="286">
        <f t="shared" si="90"/>
        <v>0</v>
      </c>
      <c r="M329" s="286">
        <f t="shared" si="90"/>
        <v>108369.79999999999</v>
      </c>
      <c r="N329" s="286">
        <f t="shared" si="90"/>
        <v>0</v>
      </c>
      <c r="O329" s="286">
        <f t="shared" si="90"/>
        <v>0</v>
      </c>
      <c r="P329" s="286">
        <f t="shared" si="90"/>
        <v>0</v>
      </c>
      <c r="Q329" s="286">
        <f t="shared" si="90"/>
        <v>0</v>
      </c>
      <c r="R329" s="286">
        <f t="shared" si="90"/>
        <v>0</v>
      </c>
      <c r="S329" s="286">
        <f t="shared" si="90"/>
        <v>108369.79999999999</v>
      </c>
      <c r="U329" s="56">
        <f t="shared" si="91"/>
        <v>309628</v>
      </c>
      <c r="W329" s="184">
        <f>$E$325</f>
        <v>0.35</v>
      </c>
      <c r="X329" s="56"/>
      <c r="Y329" s="161"/>
    </row>
    <row r="330" spans="1:25" ht="12.75">
      <c r="A330" s="198" t="s">
        <v>496</v>
      </c>
      <c r="C330" s="202" t="s">
        <v>492</v>
      </c>
      <c r="D330" s="18" t="s">
        <v>403</v>
      </c>
      <c r="E330" s="139">
        <v>1</v>
      </c>
      <c r="F330" s="287"/>
      <c r="G330" s="286">
        <f t="shared" si="87"/>
        <v>16420</v>
      </c>
      <c r="H330" s="286">
        <f t="shared" si="87"/>
        <v>0</v>
      </c>
      <c r="I330" s="286">
        <f t="shared" si="88"/>
        <v>0</v>
      </c>
      <c r="J330" s="286">
        <f t="shared" si="89"/>
        <v>0</v>
      </c>
      <c r="K330" s="286">
        <f t="shared" si="90"/>
        <v>0</v>
      </c>
      <c r="L330" s="286">
        <f t="shared" si="90"/>
        <v>0</v>
      </c>
      <c r="M330" s="286">
        <f t="shared" si="90"/>
        <v>16420</v>
      </c>
      <c r="N330" s="286">
        <f t="shared" si="90"/>
        <v>0</v>
      </c>
      <c r="O330" s="286">
        <f t="shared" si="90"/>
        <v>0</v>
      </c>
      <c r="P330" s="286">
        <f t="shared" si="90"/>
        <v>0</v>
      </c>
      <c r="Q330" s="286">
        <f t="shared" si="90"/>
        <v>0</v>
      </c>
      <c r="R330" s="286">
        <f t="shared" si="90"/>
        <v>0</v>
      </c>
      <c r="S330" s="286">
        <f t="shared" si="90"/>
        <v>16420</v>
      </c>
      <c r="U330" s="56">
        <f t="shared" si="91"/>
        <v>16420</v>
      </c>
      <c r="W330" s="184">
        <v>1</v>
      </c>
      <c r="X330" s="56"/>
      <c r="Y330" s="161"/>
    </row>
    <row r="331" spans="1:25" ht="12.75">
      <c r="A331" s="198" t="s">
        <v>497</v>
      </c>
      <c r="C331" s="199" t="s">
        <v>489</v>
      </c>
      <c r="D331" s="18" t="s">
        <v>498</v>
      </c>
      <c r="E331" s="139">
        <f>$E$325</f>
        <v>0.35</v>
      </c>
      <c r="F331" s="287"/>
      <c r="G331" s="286">
        <f t="shared" si="87"/>
        <v>0</v>
      </c>
      <c r="H331" s="286">
        <f t="shared" si="87"/>
        <v>0</v>
      </c>
      <c r="I331" s="286">
        <f t="shared" si="88"/>
        <v>0</v>
      </c>
      <c r="J331" s="286">
        <f t="shared" si="89"/>
        <v>0</v>
      </c>
      <c r="K331" s="286">
        <f t="shared" si="90"/>
        <v>0</v>
      </c>
      <c r="L331" s="286">
        <f t="shared" si="90"/>
        <v>0</v>
      </c>
      <c r="M331" s="286">
        <f t="shared" si="90"/>
        <v>0</v>
      </c>
      <c r="N331" s="286">
        <f t="shared" si="90"/>
        <v>0</v>
      </c>
      <c r="O331" s="286">
        <f t="shared" si="90"/>
        <v>0</v>
      </c>
      <c r="P331" s="286">
        <f t="shared" si="90"/>
        <v>0</v>
      </c>
      <c r="Q331" s="286">
        <f t="shared" si="90"/>
        <v>0</v>
      </c>
      <c r="R331" s="286">
        <f t="shared" si="90"/>
        <v>0</v>
      </c>
      <c r="S331" s="286">
        <f t="shared" si="90"/>
        <v>0</v>
      </c>
      <c r="U331" s="56">
        <f t="shared" si="91"/>
        <v>0</v>
      </c>
      <c r="W331" s="184">
        <f>$E$325</f>
        <v>0.35</v>
      </c>
      <c r="X331" s="56"/>
      <c r="Y331" s="161"/>
    </row>
    <row r="332" spans="1:25" ht="12.75">
      <c r="A332" s="198" t="s">
        <v>497</v>
      </c>
      <c r="C332" s="199" t="s">
        <v>489</v>
      </c>
      <c r="D332" s="18" t="s">
        <v>499</v>
      </c>
      <c r="E332" s="139">
        <f>$E$325</f>
        <v>0.35</v>
      </c>
      <c r="F332" s="287"/>
      <c r="G332" s="286">
        <f t="shared" si="87"/>
        <v>0</v>
      </c>
      <c r="H332" s="286">
        <f t="shared" si="87"/>
        <v>0</v>
      </c>
      <c r="I332" s="286">
        <f t="shared" si="88"/>
        <v>0</v>
      </c>
      <c r="J332" s="286">
        <f t="shared" si="89"/>
        <v>0</v>
      </c>
      <c r="K332" s="286">
        <f t="shared" si="90"/>
        <v>0</v>
      </c>
      <c r="L332" s="286">
        <f t="shared" si="90"/>
        <v>0</v>
      </c>
      <c r="M332" s="286">
        <f t="shared" si="90"/>
        <v>0</v>
      </c>
      <c r="N332" s="286">
        <f t="shared" si="90"/>
        <v>0</v>
      </c>
      <c r="O332" s="286">
        <f t="shared" si="90"/>
        <v>0</v>
      </c>
      <c r="P332" s="286">
        <f t="shared" si="90"/>
        <v>0</v>
      </c>
      <c r="Q332" s="286">
        <f t="shared" si="90"/>
        <v>0</v>
      </c>
      <c r="R332" s="286">
        <f t="shared" si="90"/>
        <v>0</v>
      </c>
      <c r="S332" s="286">
        <f t="shared" si="90"/>
        <v>0</v>
      </c>
      <c r="U332" s="56">
        <f t="shared" si="91"/>
        <v>0</v>
      </c>
      <c r="W332" s="184">
        <f>$E$325</f>
        <v>0.35</v>
      </c>
      <c r="X332" s="56"/>
      <c r="Y332" s="161"/>
    </row>
    <row r="333" spans="1:25" ht="12.75">
      <c r="A333" s="198" t="s">
        <v>500</v>
      </c>
      <c r="C333" s="199" t="s">
        <v>501</v>
      </c>
      <c r="D333" s="18" t="s">
        <v>353</v>
      </c>
      <c r="E333" s="139">
        <f>G306+G307</f>
        <v>3.9E-2</v>
      </c>
      <c r="F333" s="287"/>
      <c r="G333" s="286">
        <f t="shared" si="87"/>
        <v>0</v>
      </c>
      <c r="H333" s="286">
        <f t="shared" si="87"/>
        <v>0</v>
      </c>
      <c r="I333" s="286">
        <f t="shared" si="88"/>
        <v>0</v>
      </c>
      <c r="J333" s="286">
        <f t="shared" si="89"/>
        <v>0</v>
      </c>
      <c r="K333" s="286">
        <f t="shared" si="90"/>
        <v>0</v>
      </c>
      <c r="L333" s="286">
        <f t="shared" si="90"/>
        <v>0</v>
      </c>
      <c r="M333" s="286">
        <f t="shared" si="90"/>
        <v>0</v>
      </c>
      <c r="N333" s="286">
        <f t="shared" si="90"/>
        <v>0</v>
      </c>
      <c r="O333" s="286">
        <f t="shared" si="90"/>
        <v>0</v>
      </c>
      <c r="P333" s="286">
        <f t="shared" si="90"/>
        <v>0</v>
      </c>
      <c r="Q333" s="286">
        <f t="shared" si="90"/>
        <v>0</v>
      </c>
      <c r="R333" s="286">
        <f t="shared" si="90"/>
        <v>0</v>
      </c>
      <c r="S333" s="286">
        <f t="shared" si="90"/>
        <v>0</v>
      </c>
      <c r="U333" s="56">
        <f t="shared" si="91"/>
        <v>0</v>
      </c>
      <c r="W333" s="184">
        <f>H306+H307</f>
        <v>3.9E-2</v>
      </c>
      <c r="X333" s="56"/>
      <c r="Y333" s="161"/>
    </row>
    <row r="334" spans="1:25" ht="12.75">
      <c r="A334" s="198" t="s">
        <v>502</v>
      </c>
      <c r="C334" s="202" t="s">
        <v>492</v>
      </c>
      <c r="D334" s="18" t="s">
        <v>378</v>
      </c>
      <c r="E334" s="139">
        <v>0.65</v>
      </c>
      <c r="F334" s="287"/>
      <c r="G334" s="286">
        <f t="shared" si="87"/>
        <v>0</v>
      </c>
      <c r="H334" s="286">
        <f t="shared" si="87"/>
        <v>0</v>
      </c>
      <c r="I334" s="286">
        <f t="shared" si="88"/>
        <v>0</v>
      </c>
      <c r="J334" s="286">
        <f t="shared" si="89"/>
        <v>0</v>
      </c>
      <c r="K334" s="286">
        <f t="shared" si="90"/>
        <v>0</v>
      </c>
      <c r="L334" s="286">
        <f t="shared" si="90"/>
        <v>0</v>
      </c>
      <c r="M334" s="286">
        <f t="shared" si="90"/>
        <v>0</v>
      </c>
      <c r="N334" s="286">
        <f t="shared" si="90"/>
        <v>0</v>
      </c>
      <c r="O334" s="286">
        <f t="shared" si="90"/>
        <v>0</v>
      </c>
      <c r="P334" s="286">
        <f t="shared" si="90"/>
        <v>0</v>
      </c>
      <c r="Q334" s="286">
        <f t="shared" si="90"/>
        <v>0</v>
      </c>
      <c r="R334" s="286">
        <f t="shared" si="90"/>
        <v>0</v>
      </c>
      <c r="S334" s="286">
        <f t="shared" si="90"/>
        <v>0</v>
      </c>
      <c r="U334" s="56">
        <f t="shared" si="91"/>
        <v>0</v>
      </c>
      <c r="W334" s="184">
        <v>0.65</v>
      </c>
      <c r="X334" s="56"/>
      <c r="Y334" s="161"/>
    </row>
    <row r="335" spans="1:25" ht="12.75">
      <c r="A335" s="198" t="s">
        <v>503</v>
      </c>
      <c r="C335" s="199" t="s">
        <v>501</v>
      </c>
      <c r="D335" s="18" t="s">
        <v>356</v>
      </c>
      <c r="E335" s="139">
        <f>$E$333</f>
        <v>3.9E-2</v>
      </c>
      <c r="F335" s="287"/>
      <c r="G335" s="286">
        <f t="shared" si="87"/>
        <v>6440.2650000000003</v>
      </c>
      <c r="H335" s="286">
        <f t="shared" si="87"/>
        <v>0</v>
      </c>
      <c r="I335" s="286">
        <f t="shared" si="88"/>
        <v>0</v>
      </c>
      <c r="J335" s="286">
        <f t="shared" si="89"/>
        <v>0</v>
      </c>
      <c r="K335" s="286">
        <f t="shared" si="90"/>
        <v>0</v>
      </c>
      <c r="L335" s="286">
        <f t="shared" si="90"/>
        <v>0</v>
      </c>
      <c r="M335" s="286">
        <f t="shared" si="90"/>
        <v>6440.2650000000003</v>
      </c>
      <c r="N335" s="286">
        <f t="shared" si="90"/>
        <v>0</v>
      </c>
      <c r="O335" s="286">
        <f t="shared" si="90"/>
        <v>0</v>
      </c>
      <c r="P335" s="286">
        <f t="shared" si="90"/>
        <v>0</v>
      </c>
      <c r="Q335" s="286">
        <f t="shared" si="90"/>
        <v>0</v>
      </c>
      <c r="R335" s="286">
        <f t="shared" si="90"/>
        <v>0</v>
      </c>
      <c r="S335" s="286">
        <f t="shared" si="90"/>
        <v>6440.2650000000003</v>
      </c>
      <c r="U335" s="56">
        <f t="shared" si="91"/>
        <v>165135</v>
      </c>
      <c r="W335" s="184">
        <f>$W$333</f>
        <v>3.9E-2</v>
      </c>
      <c r="X335" s="56"/>
      <c r="Y335" s="161"/>
    </row>
    <row r="336" spans="1:25" ht="12.75">
      <c r="A336" s="198" t="s">
        <v>504</v>
      </c>
      <c r="C336" s="199" t="s">
        <v>501</v>
      </c>
      <c r="D336" s="18" t="s">
        <v>359</v>
      </c>
      <c r="E336" s="139">
        <f>$E$333</f>
        <v>3.9E-2</v>
      </c>
      <c r="F336" s="287"/>
      <c r="G336" s="286">
        <f t="shared" si="87"/>
        <v>0</v>
      </c>
      <c r="H336" s="286">
        <f t="shared" si="87"/>
        <v>0</v>
      </c>
      <c r="I336" s="286">
        <f t="shared" si="88"/>
        <v>0</v>
      </c>
      <c r="J336" s="286">
        <f t="shared" si="89"/>
        <v>0</v>
      </c>
      <c r="K336" s="286">
        <f t="shared" si="90"/>
        <v>0</v>
      </c>
      <c r="L336" s="286">
        <f t="shared" si="90"/>
        <v>0</v>
      </c>
      <c r="M336" s="286">
        <f t="shared" si="90"/>
        <v>0</v>
      </c>
      <c r="N336" s="286">
        <f t="shared" si="90"/>
        <v>0</v>
      </c>
      <c r="O336" s="286">
        <f t="shared" si="90"/>
        <v>0</v>
      </c>
      <c r="P336" s="286">
        <f t="shared" si="90"/>
        <v>0</v>
      </c>
      <c r="Q336" s="286">
        <f t="shared" si="90"/>
        <v>0</v>
      </c>
      <c r="R336" s="286">
        <f t="shared" si="90"/>
        <v>0</v>
      </c>
      <c r="S336" s="286">
        <f t="shared" si="90"/>
        <v>0</v>
      </c>
      <c r="U336" s="56">
        <f t="shared" si="91"/>
        <v>0</v>
      </c>
      <c r="W336" s="184">
        <f>$W$333</f>
        <v>3.9E-2</v>
      </c>
      <c r="X336" s="56"/>
      <c r="Y336" s="161"/>
    </row>
    <row r="337" spans="1:25" ht="12.75">
      <c r="A337" s="198" t="s">
        <v>505</v>
      </c>
      <c r="C337" s="199" t="s">
        <v>501</v>
      </c>
      <c r="D337" s="18" t="s">
        <v>506</v>
      </c>
      <c r="E337" s="139">
        <f>$E$314</f>
        <v>0.38899999999999996</v>
      </c>
      <c r="F337" s="287"/>
      <c r="G337" s="286">
        <f t="shared" si="87"/>
        <v>0</v>
      </c>
      <c r="H337" s="286">
        <f t="shared" si="87"/>
        <v>0</v>
      </c>
      <c r="I337" s="286">
        <f t="shared" si="88"/>
        <v>0</v>
      </c>
      <c r="J337" s="286">
        <f t="shared" si="89"/>
        <v>0</v>
      </c>
      <c r="K337" s="286">
        <f t="shared" si="90"/>
        <v>0</v>
      </c>
      <c r="L337" s="286">
        <f t="shared" si="90"/>
        <v>0</v>
      </c>
      <c r="M337" s="286">
        <f t="shared" si="90"/>
        <v>0</v>
      </c>
      <c r="N337" s="286">
        <f t="shared" si="90"/>
        <v>0</v>
      </c>
      <c r="O337" s="286">
        <f t="shared" si="90"/>
        <v>0</v>
      </c>
      <c r="P337" s="286">
        <f t="shared" si="90"/>
        <v>0</v>
      </c>
      <c r="Q337" s="286">
        <f t="shared" si="90"/>
        <v>0</v>
      </c>
      <c r="R337" s="286">
        <f t="shared" si="90"/>
        <v>0</v>
      </c>
      <c r="S337" s="286">
        <f t="shared" si="90"/>
        <v>0</v>
      </c>
      <c r="U337" s="56">
        <f t="shared" si="91"/>
        <v>0</v>
      </c>
      <c r="W337" s="184">
        <f>$W$314</f>
        <v>0.38899999999999996</v>
      </c>
      <c r="X337" s="56"/>
      <c r="Y337" s="161"/>
    </row>
    <row r="338" spans="1:25" ht="12.75">
      <c r="A338" s="191" t="s">
        <v>507</v>
      </c>
      <c r="B338" s="192"/>
      <c r="C338" s="193"/>
      <c r="D338" s="193" t="s">
        <v>508</v>
      </c>
      <c r="E338" s="194"/>
      <c r="F338" s="291" t="s">
        <v>470</v>
      </c>
      <c r="G338" s="292">
        <f>SUM(G339:G344)</f>
        <v>133071.84299999988</v>
      </c>
      <c r="H338" s="292">
        <f>SUM(H339:H344)</f>
        <v>74870.051999999996</v>
      </c>
      <c r="I338" s="292">
        <f t="shared" ref="I338:S338" si="92">SUM(I339:I344)</f>
        <v>2.9103830456733704E-11</v>
      </c>
      <c r="J338" s="292">
        <f>SUM(J339:J344)</f>
        <v>0</v>
      </c>
      <c r="K338" s="292">
        <f t="shared" si="92"/>
        <v>0</v>
      </c>
      <c r="L338" s="292">
        <f t="shared" si="92"/>
        <v>0</v>
      </c>
      <c r="M338" s="292">
        <f>SUM(M339:M344)</f>
        <v>207941.8949999999</v>
      </c>
      <c r="N338" s="292">
        <f t="shared" si="92"/>
        <v>-352266.34099999996</v>
      </c>
      <c r="O338" s="292">
        <f t="shared" si="92"/>
        <v>0</v>
      </c>
      <c r="P338" s="292">
        <f t="shared" si="92"/>
        <v>0</v>
      </c>
      <c r="Q338" s="292">
        <f t="shared" si="92"/>
        <v>0</v>
      </c>
      <c r="R338" s="292">
        <f t="shared" si="92"/>
        <v>0</v>
      </c>
      <c r="S338" s="292">
        <f t="shared" si="92"/>
        <v>-144324.446</v>
      </c>
      <c r="U338" s="56"/>
      <c r="W338" s="197"/>
      <c r="X338" s="56"/>
      <c r="Y338" s="161"/>
    </row>
    <row r="339" spans="1:25" ht="12.75">
      <c r="A339" s="198" t="s">
        <v>509</v>
      </c>
      <c r="B339" s="199"/>
      <c r="C339" s="18"/>
      <c r="D339" s="18" t="s">
        <v>176</v>
      </c>
      <c r="E339" s="139">
        <f t="shared" ref="E339:E345" si="93">$E$314</f>
        <v>0.38899999999999996</v>
      </c>
      <c r="F339" s="287"/>
      <c r="G339" s="286">
        <f t="shared" ref="G339:H345" si="94">SUMIF($E$11:$E$282,$D339,G$11:G$282)*$W339</f>
        <v>-655632.94296999997</v>
      </c>
      <c r="H339" s="286">
        <f t="shared" si="94"/>
        <v>74870.051999999996</v>
      </c>
      <c r="I339" s="286">
        <f t="shared" ref="I339:I344" si="95">M339-G339-H339-J339-K339-L339</f>
        <v>2.9103830456733704E-11</v>
      </c>
      <c r="J339" s="286">
        <f t="shared" ref="J339:J345" si="96">SUMIF($E$11:$E$282,$D339,J$11:J$282)*$W339</f>
        <v>0</v>
      </c>
      <c r="K339" s="286">
        <f t="shared" ref="K339:S345" si="97">SUMIF($E$11:$E$282,$D339,K$11:K$282)*$E339</f>
        <v>0</v>
      </c>
      <c r="L339" s="286">
        <f t="shared" si="97"/>
        <v>0</v>
      </c>
      <c r="M339" s="286">
        <f t="shared" si="97"/>
        <v>-580762.89096999995</v>
      </c>
      <c r="N339" s="286">
        <f t="shared" si="97"/>
        <v>-352266.34099999996</v>
      </c>
      <c r="O339" s="286">
        <f t="shared" si="97"/>
        <v>0</v>
      </c>
      <c r="P339" s="286">
        <f t="shared" si="97"/>
        <v>0</v>
      </c>
      <c r="Q339" s="286">
        <f t="shared" si="97"/>
        <v>0</v>
      </c>
      <c r="R339" s="286">
        <f t="shared" si="97"/>
        <v>0</v>
      </c>
      <c r="S339" s="286">
        <f t="shared" si="97"/>
        <v>-933029.23196999985</v>
      </c>
      <c r="U339" s="56">
        <f t="shared" ref="U339:U345" si="98">M339/E339</f>
        <v>-1492963.73</v>
      </c>
      <c r="W339" s="184">
        <f t="shared" ref="W339:W345" si="99">$W$314</f>
        <v>0.38899999999999996</v>
      </c>
      <c r="X339" s="56"/>
      <c r="Y339" s="161"/>
    </row>
    <row r="340" spans="1:25" ht="12.75">
      <c r="A340" s="198" t="s">
        <v>510</v>
      </c>
      <c r="B340" s="199"/>
      <c r="C340" s="18"/>
      <c r="D340" s="18" t="s">
        <v>202</v>
      </c>
      <c r="E340" s="139">
        <f t="shared" si="93"/>
        <v>0.38899999999999996</v>
      </c>
      <c r="F340" s="287"/>
      <c r="G340" s="286">
        <f t="shared" si="94"/>
        <v>788704.78596999985</v>
      </c>
      <c r="H340" s="286">
        <f t="shared" si="94"/>
        <v>0</v>
      </c>
      <c r="I340" s="286">
        <f t="shared" si="95"/>
        <v>0</v>
      </c>
      <c r="J340" s="286">
        <f t="shared" si="96"/>
        <v>0</v>
      </c>
      <c r="K340" s="286">
        <f t="shared" si="97"/>
        <v>0</v>
      </c>
      <c r="L340" s="286">
        <f t="shared" si="97"/>
        <v>0</v>
      </c>
      <c r="M340" s="286">
        <f t="shared" si="97"/>
        <v>788704.78596999985</v>
      </c>
      <c r="N340" s="286">
        <f t="shared" si="97"/>
        <v>0</v>
      </c>
      <c r="O340" s="286">
        <f t="shared" si="97"/>
        <v>0</v>
      </c>
      <c r="P340" s="286">
        <f t="shared" si="97"/>
        <v>0</v>
      </c>
      <c r="Q340" s="286">
        <f t="shared" si="97"/>
        <v>0</v>
      </c>
      <c r="R340" s="286">
        <f t="shared" si="97"/>
        <v>0</v>
      </c>
      <c r="S340" s="286">
        <f t="shared" si="97"/>
        <v>788704.78596999985</v>
      </c>
      <c r="U340" s="56">
        <f t="shared" si="98"/>
        <v>2027518.7299999997</v>
      </c>
      <c r="W340" s="184">
        <f t="shared" si="99"/>
        <v>0.38899999999999996</v>
      </c>
      <c r="X340" s="56"/>
      <c r="Y340" s="161"/>
    </row>
    <row r="341" spans="1:25" ht="12.75">
      <c r="A341" s="198" t="s">
        <v>511</v>
      </c>
      <c r="B341" s="199"/>
      <c r="C341" s="18"/>
      <c r="D341" s="18" t="s">
        <v>512</v>
      </c>
      <c r="E341" s="139">
        <f t="shared" si="93"/>
        <v>0.38899999999999996</v>
      </c>
      <c r="F341" s="287"/>
      <c r="G341" s="286">
        <f t="shared" si="94"/>
        <v>0</v>
      </c>
      <c r="H341" s="286">
        <f t="shared" si="94"/>
        <v>0</v>
      </c>
      <c r="I341" s="286">
        <f t="shared" si="95"/>
        <v>0</v>
      </c>
      <c r="J341" s="286">
        <f t="shared" si="96"/>
        <v>0</v>
      </c>
      <c r="K341" s="286">
        <f t="shared" si="97"/>
        <v>0</v>
      </c>
      <c r="L341" s="286">
        <f t="shared" si="97"/>
        <v>0</v>
      </c>
      <c r="M341" s="286">
        <f t="shared" si="97"/>
        <v>0</v>
      </c>
      <c r="N341" s="286">
        <f t="shared" si="97"/>
        <v>0</v>
      </c>
      <c r="O341" s="286">
        <f t="shared" si="97"/>
        <v>0</v>
      </c>
      <c r="P341" s="286">
        <f t="shared" si="97"/>
        <v>0</v>
      </c>
      <c r="Q341" s="286">
        <f t="shared" si="97"/>
        <v>0</v>
      </c>
      <c r="R341" s="286">
        <f t="shared" si="97"/>
        <v>0</v>
      </c>
      <c r="S341" s="286">
        <f t="shared" si="97"/>
        <v>0</v>
      </c>
      <c r="U341" s="56">
        <f t="shared" si="98"/>
        <v>0</v>
      </c>
      <c r="W341" s="184">
        <f t="shared" si="99"/>
        <v>0.38899999999999996</v>
      </c>
      <c r="X341" s="56"/>
      <c r="Y341" s="161"/>
    </row>
    <row r="342" spans="1:25" ht="12.75">
      <c r="A342" s="198" t="s">
        <v>513</v>
      </c>
      <c r="B342" s="199"/>
      <c r="C342" s="18"/>
      <c r="D342" s="18" t="s">
        <v>514</v>
      </c>
      <c r="E342" s="139">
        <f t="shared" si="93"/>
        <v>0.38899999999999996</v>
      </c>
      <c r="F342" s="287"/>
      <c r="G342" s="286">
        <f t="shared" si="94"/>
        <v>0</v>
      </c>
      <c r="H342" s="286">
        <f t="shared" si="94"/>
        <v>0</v>
      </c>
      <c r="I342" s="286">
        <f t="shared" si="95"/>
        <v>0</v>
      </c>
      <c r="J342" s="286">
        <f t="shared" si="96"/>
        <v>0</v>
      </c>
      <c r="K342" s="286">
        <f t="shared" si="97"/>
        <v>0</v>
      </c>
      <c r="L342" s="286">
        <f t="shared" si="97"/>
        <v>0</v>
      </c>
      <c r="M342" s="286">
        <f t="shared" si="97"/>
        <v>0</v>
      </c>
      <c r="N342" s="286">
        <f t="shared" si="97"/>
        <v>0</v>
      </c>
      <c r="O342" s="286">
        <f t="shared" si="97"/>
        <v>0</v>
      </c>
      <c r="P342" s="286">
        <f t="shared" si="97"/>
        <v>0</v>
      </c>
      <c r="Q342" s="286">
        <f t="shared" si="97"/>
        <v>0</v>
      </c>
      <c r="R342" s="286">
        <f t="shared" si="97"/>
        <v>0</v>
      </c>
      <c r="S342" s="286">
        <f t="shared" si="97"/>
        <v>0</v>
      </c>
      <c r="U342" s="56">
        <f t="shared" si="98"/>
        <v>0</v>
      </c>
      <c r="W342" s="184">
        <f t="shared" si="99"/>
        <v>0.38899999999999996</v>
      </c>
      <c r="X342" s="56"/>
      <c r="Y342" s="161"/>
    </row>
    <row r="343" spans="1:25" ht="12.75">
      <c r="A343" s="198" t="s">
        <v>515</v>
      </c>
      <c r="B343" s="199"/>
      <c r="C343" s="18"/>
      <c r="D343" s="18" t="s">
        <v>516</v>
      </c>
      <c r="E343" s="139">
        <f t="shared" si="93"/>
        <v>0.38899999999999996</v>
      </c>
      <c r="F343" s="287"/>
      <c r="G343" s="286">
        <f t="shared" si="94"/>
        <v>0</v>
      </c>
      <c r="H343" s="286">
        <f t="shared" si="94"/>
        <v>0</v>
      </c>
      <c r="I343" s="286">
        <f t="shared" si="95"/>
        <v>0</v>
      </c>
      <c r="J343" s="286">
        <f t="shared" si="96"/>
        <v>0</v>
      </c>
      <c r="K343" s="286">
        <f t="shared" si="97"/>
        <v>0</v>
      </c>
      <c r="L343" s="286">
        <f t="shared" si="97"/>
        <v>0</v>
      </c>
      <c r="M343" s="286">
        <f t="shared" si="97"/>
        <v>0</v>
      </c>
      <c r="N343" s="286">
        <f t="shared" si="97"/>
        <v>0</v>
      </c>
      <c r="O343" s="286">
        <f t="shared" si="97"/>
        <v>0</v>
      </c>
      <c r="P343" s="286">
        <f t="shared" si="97"/>
        <v>0</v>
      </c>
      <c r="Q343" s="286">
        <f t="shared" si="97"/>
        <v>0</v>
      </c>
      <c r="R343" s="286">
        <f t="shared" si="97"/>
        <v>0</v>
      </c>
      <c r="S343" s="286">
        <f t="shared" si="97"/>
        <v>0</v>
      </c>
      <c r="U343" s="56">
        <f t="shared" si="98"/>
        <v>0</v>
      </c>
      <c r="W343" s="184">
        <f t="shared" si="99"/>
        <v>0.38899999999999996</v>
      </c>
      <c r="X343" s="56"/>
      <c r="Y343" s="161"/>
    </row>
    <row r="344" spans="1:25" ht="12.75">
      <c r="A344" s="198" t="s">
        <v>517</v>
      </c>
      <c r="B344" s="199"/>
      <c r="C344" s="18"/>
      <c r="D344" s="18" t="s">
        <v>518</v>
      </c>
      <c r="E344" s="139">
        <f t="shared" si="93"/>
        <v>0.38899999999999996</v>
      </c>
      <c r="F344" s="287"/>
      <c r="G344" s="286">
        <f t="shared" si="94"/>
        <v>0</v>
      </c>
      <c r="H344" s="286">
        <f t="shared" si="94"/>
        <v>0</v>
      </c>
      <c r="I344" s="286">
        <f t="shared" si="95"/>
        <v>0</v>
      </c>
      <c r="J344" s="286">
        <f t="shared" si="96"/>
        <v>0</v>
      </c>
      <c r="K344" s="286">
        <f t="shared" si="97"/>
        <v>0</v>
      </c>
      <c r="L344" s="286">
        <f t="shared" si="97"/>
        <v>0</v>
      </c>
      <c r="M344" s="286">
        <f t="shared" si="97"/>
        <v>0</v>
      </c>
      <c r="N344" s="286">
        <f t="shared" si="97"/>
        <v>0</v>
      </c>
      <c r="O344" s="286">
        <f t="shared" si="97"/>
        <v>0</v>
      </c>
      <c r="P344" s="286">
        <f t="shared" si="97"/>
        <v>0</v>
      </c>
      <c r="Q344" s="286">
        <f t="shared" si="97"/>
        <v>0</v>
      </c>
      <c r="R344" s="286">
        <f t="shared" si="97"/>
        <v>0</v>
      </c>
      <c r="S344" s="286">
        <f t="shared" si="97"/>
        <v>0</v>
      </c>
      <c r="U344" s="56">
        <f t="shared" si="98"/>
        <v>0</v>
      </c>
      <c r="W344" s="184">
        <f t="shared" si="99"/>
        <v>0.38899999999999996</v>
      </c>
      <c r="X344" s="56"/>
      <c r="Y344" s="161"/>
    </row>
    <row r="345" spans="1:25" ht="12.75">
      <c r="A345" s="191" t="s">
        <v>519</v>
      </c>
      <c r="B345" s="192"/>
      <c r="C345" s="193"/>
      <c r="D345" s="193" t="s">
        <v>237</v>
      </c>
      <c r="E345" s="194">
        <f t="shared" si="93"/>
        <v>0.38899999999999996</v>
      </c>
      <c r="F345" s="291" t="s">
        <v>470</v>
      </c>
      <c r="G345" s="292">
        <f t="shared" si="94"/>
        <v>0</v>
      </c>
      <c r="H345" s="292">
        <f t="shared" si="94"/>
        <v>0</v>
      </c>
      <c r="I345" s="292">
        <f>M345-G345-H345-J345-K345-L345</f>
        <v>0</v>
      </c>
      <c r="J345" s="292">
        <f t="shared" si="96"/>
        <v>0</v>
      </c>
      <c r="K345" s="292">
        <f t="shared" si="97"/>
        <v>0</v>
      </c>
      <c r="L345" s="292">
        <f t="shared" si="97"/>
        <v>0</v>
      </c>
      <c r="M345" s="292">
        <f t="shared" si="97"/>
        <v>0</v>
      </c>
      <c r="N345" s="292">
        <f t="shared" si="97"/>
        <v>0</v>
      </c>
      <c r="O345" s="292">
        <f t="shared" si="97"/>
        <v>0</v>
      </c>
      <c r="P345" s="292">
        <f t="shared" si="97"/>
        <v>0</v>
      </c>
      <c r="Q345" s="292">
        <f t="shared" si="97"/>
        <v>0</v>
      </c>
      <c r="R345" s="292">
        <f t="shared" si="97"/>
        <v>0</v>
      </c>
      <c r="S345" s="292">
        <f t="shared" si="97"/>
        <v>0</v>
      </c>
      <c r="U345" s="56">
        <f t="shared" si="98"/>
        <v>0</v>
      </c>
      <c r="W345" s="197">
        <f t="shared" si="99"/>
        <v>0.38899999999999996</v>
      </c>
      <c r="X345" s="56"/>
      <c r="Y345" s="161"/>
    </row>
    <row r="346" spans="1:25" ht="12.75">
      <c r="A346" s="191" t="s">
        <v>520</v>
      </c>
      <c r="B346" s="192"/>
      <c r="C346" s="193"/>
      <c r="D346" s="193" t="s">
        <v>521</v>
      </c>
      <c r="E346" s="194"/>
      <c r="F346" s="291" t="s">
        <v>470</v>
      </c>
      <c r="G346" s="292">
        <f t="shared" ref="G346:S346" si="100">SUM(G347:G358)</f>
        <v>365473.72902269999</v>
      </c>
      <c r="H346" s="292">
        <f t="shared" si="100"/>
        <v>-2311.4379999999996</v>
      </c>
      <c r="I346" s="292">
        <f t="shared" si="100"/>
        <v>3.3101299479199042E-13</v>
      </c>
      <c r="J346" s="292">
        <f t="shared" si="100"/>
        <v>106725.65099999998</v>
      </c>
      <c r="K346" s="292">
        <f t="shared" si="100"/>
        <v>0</v>
      </c>
      <c r="L346" s="292">
        <f t="shared" si="100"/>
        <v>0</v>
      </c>
      <c r="M346" s="292">
        <f t="shared" si="100"/>
        <v>469887.94202269998</v>
      </c>
      <c r="N346" s="292">
        <f t="shared" si="100"/>
        <v>13981.324541666658</v>
      </c>
      <c r="O346" s="292">
        <f t="shared" si="100"/>
        <v>0</v>
      </c>
      <c r="P346" s="292">
        <f t="shared" si="100"/>
        <v>0</v>
      </c>
      <c r="Q346" s="292">
        <f t="shared" si="100"/>
        <v>0</v>
      </c>
      <c r="R346" s="292">
        <f t="shared" si="100"/>
        <v>0</v>
      </c>
      <c r="S346" s="292">
        <f t="shared" si="100"/>
        <v>483869.26656436664</v>
      </c>
      <c r="U346" s="56"/>
      <c r="W346" s="197"/>
      <c r="X346" s="56"/>
      <c r="Y346" s="161"/>
    </row>
    <row r="347" spans="1:25" ht="12.75">
      <c r="A347" s="198" t="s">
        <v>522</v>
      </c>
      <c r="B347" s="199"/>
      <c r="C347" s="18"/>
      <c r="D347" s="18" t="s">
        <v>77</v>
      </c>
      <c r="E347" s="139">
        <f t="shared" ref="E347:E359" si="101">$E$314</f>
        <v>0.38899999999999996</v>
      </c>
      <c r="F347" s="287"/>
      <c r="G347" s="286">
        <f t="shared" ref="G347:H359" si="102">SUMIF($E$11:$E$282,$D347,G$11:G$282)*$W347</f>
        <v>-4046.3685473000019</v>
      </c>
      <c r="H347" s="286">
        <f t="shared" si="102"/>
        <v>-0.38899999999999996</v>
      </c>
      <c r="I347" s="286">
        <f t="shared" ref="I347:I356" si="103">M347-G347-H347-J347-K347-L347</f>
        <v>-1.237343560944737E-13</v>
      </c>
      <c r="J347" s="286">
        <f t="shared" ref="J347:J359" si="104">SUMIF($E$11:$E$282,$D347,J$11:J$282)*$W347</f>
        <v>0</v>
      </c>
      <c r="K347" s="286">
        <f t="shared" ref="K347:S359" si="105">SUMIF($E$11:$E$282,$D347,K$11:K$282)*$E347</f>
        <v>0</v>
      </c>
      <c r="L347" s="286">
        <f t="shared" si="105"/>
        <v>0</v>
      </c>
      <c r="M347" s="286">
        <f t="shared" si="105"/>
        <v>-4046.757547300002</v>
      </c>
      <c r="N347" s="286">
        <f t="shared" si="105"/>
        <v>-265.41145833333331</v>
      </c>
      <c r="O347" s="286">
        <f t="shared" si="105"/>
        <v>0</v>
      </c>
      <c r="P347" s="286">
        <f t="shared" si="105"/>
        <v>0</v>
      </c>
      <c r="Q347" s="286">
        <f t="shared" si="105"/>
        <v>0</v>
      </c>
      <c r="R347" s="286">
        <f t="shared" si="105"/>
        <v>0</v>
      </c>
      <c r="S347" s="286">
        <f t="shared" si="105"/>
        <v>-4312.1690056333355</v>
      </c>
      <c r="U347" s="56">
        <f t="shared" ref="U347:U359" si="106">M347/E347</f>
        <v>-10402.975700000006</v>
      </c>
      <c r="W347" s="184">
        <f t="shared" ref="W347:W359" si="107">$W$314</f>
        <v>0.38899999999999996</v>
      </c>
      <c r="X347" s="56"/>
      <c r="Y347" s="161"/>
    </row>
    <row r="348" spans="1:25" ht="12.75">
      <c r="A348" s="198" t="s">
        <v>523</v>
      </c>
      <c r="B348" s="199"/>
      <c r="C348" s="18"/>
      <c r="D348" s="18" t="s">
        <v>524</v>
      </c>
      <c r="E348" s="139">
        <f t="shared" si="101"/>
        <v>0.38899999999999996</v>
      </c>
      <c r="F348" s="287"/>
      <c r="G348" s="286">
        <f t="shared" si="102"/>
        <v>0</v>
      </c>
      <c r="H348" s="286">
        <f t="shared" si="102"/>
        <v>0</v>
      </c>
      <c r="I348" s="286">
        <f t="shared" si="103"/>
        <v>0</v>
      </c>
      <c r="J348" s="286">
        <f t="shared" si="104"/>
        <v>0</v>
      </c>
      <c r="K348" s="286">
        <f t="shared" si="105"/>
        <v>0</v>
      </c>
      <c r="L348" s="286">
        <f t="shared" si="105"/>
        <v>0</v>
      </c>
      <c r="M348" s="286">
        <f t="shared" si="105"/>
        <v>0</v>
      </c>
      <c r="N348" s="286">
        <f t="shared" si="105"/>
        <v>0</v>
      </c>
      <c r="O348" s="286">
        <f t="shared" si="105"/>
        <v>0</v>
      </c>
      <c r="P348" s="286">
        <f t="shared" si="105"/>
        <v>0</v>
      </c>
      <c r="Q348" s="286">
        <f t="shared" si="105"/>
        <v>0</v>
      </c>
      <c r="R348" s="286">
        <f t="shared" si="105"/>
        <v>0</v>
      </c>
      <c r="S348" s="286">
        <f t="shared" si="105"/>
        <v>0</v>
      </c>
      <c r="U348" s="56">
        <f t="shared" si="106"/>
        <v>0</v>
      </c>
      <c r="W348" s="184">
        <f t="shared" si="107"/>
        <v>0.38899999999999996</v>
      </c>
      <c r="X348" s="56"/>
      <c r="Y348" s="161"/>
    </row>
    <row r="349" spans="1:25" ht="12.75">
      <c r="A349" s="198" t="s">
        <v>525</v>
      </c>
      <c r="B349" s="199"/>
      <c r="C349" s="18"/>
      <c r="D349" s="18" t="s">
        <v>526</v>
      </c>
      <c r="E349" s="139">
        <f t="shared" si="101"/>
        <v>0.38899999999999996</v>
      </c>
      <c r="F349" s="287"/>
      <c r="G349" s="286">
        <f t="shared" si="102"/>
        <v>0</v>
      </c>
      <c r="H349" s="286">
        <f t="shared" si="102"/>
        <v>0</v>
      </c>
      <c r="I349" s="286">
        <f t="shared" si="103"/>
        <v>0</v>
      </c>
      <c r="J349" s="286">
        <f t="shared" si="104"/>
        <v>0</v>
      </c>
      <c r="K349" s="286">
        <f t="shared" si="105"/>
        <v>0</v>
      </c>
      <c r="L349" s="286">
        <f t="shared" si="105"/>
        <v>0</v>
      </c>
      <c r="M349" s="286">
        <f t="shared" si="105"/>
        <v>0</v>
      </c>
      <c r="N349" s="286">
        <f t="shared" si="105"/>
        <v>0</v>
      </c>
      <c r="O349" s="286">
        <f t="shared" si="105"/>
        <v>0</v>
      </c>
      <c r="P349" s="286">
        <f t="shared" si="105"/>
        <v>0</v>
      </c>
      <c r="Q349" s="286">
        <f t="shared" si="105"/>
        <v>0</v>
      </c>
      <c r="R349" s="286">
        <f t="shared" si="105"/>
        <v>0</v>
      </c>
      <c r="S349" s="286">
        <f t="shared" si="105"/>
        <v>0</v>
      </c>
      <c r="U349" s="56">
        <f t="shared" si="106"/>
        <v>0</v>
      </c>
      <c r="W349" s="184">
        <f t="shared" si="107"/>
        <v>0.38899999999999996</v>
      </c>
      <c r="X349" s="56"/>
      <c r="Y349" s="161"/>
    </row>
    <row r="350" spans="1:25" ht="12.75">
      <c r="A350" s="198" t="s">
        <v>527</v>
      </c>
      <c r="B350" s="199"/>
      <c r="C350" s="18"/>
      <c r="D350" s="18" t="s">
        <v>528</v>
      </c>
      <c r="E350" s="139">
        <f t="shared" si="101"/>
        <v>0.38899999999999996</v>
      </c>
      <c r="F350" s="287"/>
      <c r="G350" s="286">
        <f t="shared" si="102"/>
        <v>0</v>
      </c>
      <c r="H350" s="286">
        <f t="shared" si="102"/>
        <v>0</v>
      </c>
      <c r="I350" s="286">
        <f t="shared" si="103"/>
        <v>0</v>
      </c>
      <c r="J350" s="286">
        <f t="shared" si="104"/>
        <v>0</v>
      </c>
      <c r="K350" s="286">
        <f t="shared" si="105"/>
        <v>0</v>
      </c>
      <c r="L350" s="286">
        <f t="shared" si="105"/>
        <v>0</v>
      </c>
      <c r="M350" s="286">
        <f t="shared" si="105"/>
        <v>0</v>
      </c>
      <c r="N350" s="286">
        <f t="shared" si="105"/>
        <v>0</v>
      </c>
      <c r="O350" s="286">
        <f t="shared" si="105"/>
        <v>0</v>
      </c>
      <c r="P350" s="286">
        <f t="shared" si="105"/>
        <v>0</v>
      </c>
      <c r="Q350" s="286">
        <f t="shared" si="105"/>
        <v>0</v>
      </c>
      <c r="R350" s="286">
        <f t="shared" si="105"/>
        <v>0</v>
      </c>
      <c r="S350" s="286">
        <f t="shared" si="105"/>
        <v>0</v>
      </c>
      <c r="U350" s="56">
        <f t="shared" si="106"/>
        <v>0</v>
      </c>
      <c r="W350" s="184">
        <f t="shared" si="107"/>
        <v>0.38899999999999996</v>
      </c>
      <c r="X350" s="56"/>
      <c r="Y350" s="161"/>
    </row>
    <row r="351" spans="1:25" ht="12.75">
      <c r="A351" s="198" t="s">
        <v>529</v>
      </c>
      <c r="B351" s="199"/>
      <c r="C351" s="18"/>
      <c r="D351" s="18" t="s">
        <v>81</v>
      </c>
      <c r="E351" s="139">
        <f t="shared" si="101"/>
        <v>0.38899999999999996</v>
      </c>
      <c r="F351" s="287"/>
      <c r="G351" s="286">
        <f t="shared" si="102"/>
        <v>0</v>
      </c>
      <c r="H351" s="286">
        <f t="shared" si="102"/>
        <v>0</v>
      </c>
      <c r="I351" s="286">
        <f t="shared" si="103"/>
        <v>0</v>
      </c>
      <c r="J351" s="286">
        <f t="shared" si="104"/>
        <v>0</v>
      </c>
      <c r="K351" s="286">
        <f t="shared" si="105"/>
        <v>0</v>
      </c>
      <c r="L351" s="286">
        <f t="shared" si="105"/>
        <v>0</v>
      </c>
      <c r="M351" s="286">
        <f t="shared" si="105"/>
        <v>0</v>
      </c>
      <c r="N351" s="286">
        <f t="shared" si="105"/>
        <v>0</v>
      </c>
      <c r="O351" s="286">
        <f t="shared" si="105"/>
        <v>0</v>
      </c>
      <c r="P351" s="286">
        <f t="shared" si="105"/>
        <v>0</v>
      </c>
      <c r="Q351" s="286">
        <f t="shared" si="105"/>
        <v>0</v>
      </c>
      <c r="R351" s="286">
        <f t="shared" si="105"/>
        <v>0</v>
      </c>
      <c r="S351" s="286">
        <f t="shared" si="105"/>
        <v>0</v>
      </c>
      <c r="U351" s="56">
        <f t="shared" si="106"/>
        <v>0</v>
      </c>
      <c r="W351" s="184">
        <f t="shared" si="107"/>
        <v>0.38899999999999996</v>
      </c>
      <c r="X351" s="56"/>
      <c r="Y351" s="161"/>
    </row>
    <row r="352" spans="1:25" ht="12.75">
      <c r="A352" s="198" t="s">
        <v>530</v>
      </c>
      <c r="B352" s="199"/>
      <c r="C352" s="18"/>
      <c r="D352" s="18" t="s">
        <v>531</v>
      </c>
      <c r="E352" s="139">
        <f t="shared" si="101"/>
        <v>0.38899999999999996</v>
      </c>
      <c r="F352" s="287"/>
      <c r="G352" s="286">
        <f t="shared" si="102"/>
        <v>0</v>
      </c>
      <c r="H352" s="286">
        <f t="shared" si="102"/>
        <v>0</v>
      </c>
      <c r="I352" s="286">
        <f t="shared" si="103"/>
        <v>0</v>
      </c>
      <c r="J352" s="286">
        <f t="shared" si="104"/>
        <v>0</v>
      </c>
      <c r="K352" s="286">
        <f t="shared" si="105"/>
        <v>0</v>
      </c>
      <c r="L352" s="286">
        <f t="shared" si="105"/>
        <v>0</v>
      </c>
      <c r="M352" s="286">
        <f t="shared" si="105"/>
        <v>0</v>
      </c>
      <c r="N352" s="286">
        <f t="shared" si="105"/>
        <v>0</v>
      </c>
      <c r="O352" s="286">
        <f t="shared" si="105"/>
        <v>0</v>
      </c>
      <c r="P352" s="286">
        <f t="shared" si="105"/>
        <v>0</v>
      </c>
      <c r="Q352" s="286">
        <f t="shared" si="105"/>
        <v>0</v>
      </c>
      <c r="R352" s="286">
        <f t="shared" si="105"/>
        <v>0</v>
      </c>
      <c r="S352" s="286">
        <f t="shared" si="105"/>
        <v>0</v>
      </c>
      <c r="U352" s="56">
        <f t="shared" si="106"/>
        <v>0</v>
      </c>
      <c r="W352" s="184">
        <f t="shared" si="107"/>
        <v>0.38899999999999996</v>
      </c>
      <c r="X352" s="56"/>
      <c r="Y352" s="161"/>
    </row>
    <row r="353" spans="1:25" ht="12.75">
      <c r="A353" s="198" t="s">
        <v>532</v>
      </c>
      <c r="B353" s="199"/>
      <c r="C353" s="18"/>
      <c r="D353" s="18" t="s">
        <v>139</v>
      </c>
      <c r="E353" s="139">
        <f t="shared" si="101"/>
        <v>0.38899999999999996</v>
      </c>
      <c r="F353" s="287"/>
      <c r="G353" s="286">
        <f t="shared" si="102"/>
        <v>0</v>
      </c>
      <c r="H353" s="286">
        <f t="shared" si="102"/>
        <v>0</v>
      </c>
      <c r="I353" s="286">
        <f t="shared" si="103"/>
        <v>0</v>
      </c>
      <c r="J353" s="286">
        <f t="shared" si="104"/>
        <v>0</v>
      </c>
      <c r="K353" s="286">
        <f t="shared" si="105"/>
        <v>0</v>
      </c>
      <c r="L353" s="286">
        <f t="shared" si="105"/>
        <v>0</v>
      </c>
      <c r="M353" s="286">
        <f t="shared" si="105"/>
        <v>0</v>
      </c>
      <c r="N353" s="286">
        <f t="shared" si="105"/>
        <v>0</v>
      </c>
      <c r="O353" s="286">
        <f t="shared" si="105"/>
        <v>0</v>
      </c>
      <c r="P353" s="286">
        <f t="shared" si="105"/>
        <v>0</v>
      </c>
      <c r="Q353" s="286">
        <f t="shared" si="105"/>
        <v>0</v>
      </c>
      <c r="R353" s="286">
        <f t="shared" si="105"/>
        <v>0</v>
      </c>
      <c r="S353" s="286">
        <f t="shared" si="105"/>
        <v>0</v>
      </c>
      <c r="U353" s="56">
        <f t="shared" si="106"/>
        <v>0</v>
      </c>
      <c r="W353" s="184">
        <f t="shared" si="107"/>
        <v>0.38899999999999996</v>
      </c>
      <c r="X353" s="56"/>
      <c r="Y353" s="161"/>
    </row>
    <row r="354" spans="1:25" ht="12.75">
      <c r="A354" s="200" t="s">
        <v>533</v>
      </c>
      <c r="B354" s="199"/>
      <c r="C354" s="201"/>
      <c r="D354" s="201" t="s">
        <v>534</v>
      </c>
      <c r="E354" s="139">
        <f t="shared" si="101"/>
        <v>0.38899999999999996</v>
      </c>
      <c r="F354" s="287"/>
      <c r="G354" s="286">
        <f t="shared" si="102"/>
        <v>0</v>
      </c>
      <c r="H354" s="286">
        <f t="shared" si="102"/>
        <v>0</v>
      </c>
      <c r="I354" s="286">
        <f t="shared" si="103"/>
        <v>0</v>
      </c>
      <c r="J354" s="286">
        <f t="shared" si="104"/>
        <v>0</v>
      </c>
      <c r="K354" s="286">
        <f t="shared" si="105"/>
        <v>0</v>
      </c>
      <c r="L354" s="286">
        <f t="shared" si="105"/>
        <v>0</v>
      </c>
      <c r="M354" s="286">
        <f t="shared" si="105"/>
        <v>0</v>
      </c>
      <c r="N354" s="286">
        <f t="shared" si="105"/>
        <v>0</v>
      </c>
      <c r="O354" s="286">
        <f t="shared" si="105"/>
        <v>0</v>
      </c>
      <c r="P354" s="286">
        <f t="shared" si="105"/>
        <v>0</v>
      </c>
      <c r="Q354" s="286">
        <f t="shared" si="105"/>
        <v>0</v>
      </c>
      <c r="R354" s="286">
        <f t="shared" si="105"/>
        <v>0</v>
      </c>
      <c r="S354" s="286">
        <f t="shared" si="105"/>
        <v>0</v>
      </c>
      <c r="U354" s="56">
        <f t="shared" si="106"/>
        <v>0</v>
      </c>
      <c r="W354" s="184">
        <f t="shared" si="107"/>
        <v>0.38899999999999996</v>
      </c>
      <c r="X354" s="56"/>
      <c r="Y354" s="161"/>
    </row>
    <row r="355" spans="1:25" ht="12.75">
      <c r="A355" s="198" t="s">
        <v>535</v>
      </c>
      <c r="B355" s="199"/>
      <c r="C355" s="18"/>
      <c r="D355" s="18" t="s">
        <v>192</v>
      </c>
      <c r="E355" s="139">
        <f t="shared" si="101"/>
        <v>0.38899999999999996</v>
      </c>
      <c r="F355" s="287"/>
      <c r="G355" s="286">
        <f t="shared" si="102"/>
        <v>241376.10656999997</v>
      </c>
      <c r="H355" s="286">
        <f t="shared" si="102"/>
        <v>0</v>
      </c>
      <c r="I355" s="286">
        <f t="shared" si="103"/>
        <v>0</v>
      </c>
      <c r="J355" s="286">
        <f t="shared" si="104"/>
        <v>106725.65099999998</v>
      </c>
      <c r="K355" s="286">
        <f t="shared" si="105"/>
        <v>0</v>
      </c>
      <c r="L355" s="286">
        <f t="shared" si="105"/>
        <v>0</v>
      </c>
      <c r="M355" s="286">
        <f t="shared" si="105"/>
        <v>348101.75756999996</v>
      </c>
      <c r="N355" s="286">
        <f t="shared" si="105"/>
        <v>-63913.866999999991</v>
      </c>
      <c r="O355" s="286">
        <f t="shared" si="105"/>
        <v>0</v>
      </c>
      <c r="P355" s="286">
        <f t="shared" si="105"/>
        <v>0</v>
      </c>
      <c r="Q355" s="286">
        <f t="shared" si="105"/>
        <v>0</v>
      </c>
      <c r="R355" s="286">
        <f t="shared" si="105"/>
        <v>0</v>
      </c>
      <c r="S355" s="286">
        <f t="shared" si="105"/>
        <v>284187.89056999999</v>
      </c>
      <c r="U355" s="56">
        <f t="shared" si="106"/>
        <v>894863.13</v>
      </c>
      <c r="W355" s="184">
        <f t="shared" si="107"/>
        <v>0.38899999999999996</v>
      </c>
      <c r="X355" s="56"/>
      <c r="Y355" s="161"/>
    </row>
    <row r="356" spans="1:25" ht="12.75">
      <c r="A356" s="198" t="s">
        <v>536</v>
      </c>
      <c r="B356" s="199"/>
      <c r="C356" s="18"/>
      <c r="D356" s="18" t="s">
        <v>72</v>
      </c>
      <c r="E356" s="139">
        <f t="shared" si="101"/>
        <v>0.38899999999999996</v>
      </c>
      <c r="F356" s="287"/>
      <c r="G356" s="286">
        <f t="shared" si="102"/>
        <v>109719.39499999999</v>
      </c>
      <c r="H356" s="286">
        <f t="shared" si="102"/>
        <v>0</v>
      </c>
      <c r="I356" s="286">
        <f t="shared" si="103"/>
        <v>0</v>
      </c>
      <c r="J356" s="286">
        <f t="shared" si="104"/>
        <v>0</v>
      </c>
      <c r="K356" s="286">
        <f t="shared" si="105"/>
        <v>0</v>
      </c>
      <c r="L356" s="286">
        <f t="shared" si="105"/>
        <v>0</v>
      </c>
      <c r="M356" s="286">
        <f t="shared" si="105"/>
        <v>109719.39499999999</v>
      </c>
      <c r="N356" s="286">
        <f t="shared" si="105"/>
        <v>66691.715999999986</v>
      </c>
      <c r="O356" s="286">
        <f t="shared" si="105"/>
        <v>0</v>
      </c>
      <c r="P356" s="286">
        <f t="shared" si="105"/>
        <v>0</v>
      </c>
      <c r="Q356" s="286">
        <f t="shared" si="105"/>
        <v>0</v>
      </c>
      <c r="R356" s="286">
        <f t="shared" si="105"/>
        <v>0</v>
      </c>
      <c r="S356" s="286">
        <f t="shared" si="105"/>
        <v>176411.11099999998</v>
      </c>
      <c r="U356" s="56">
        <f t="shared" si="106"/>
        <v>282055</v>
      </c>
      <c r="W356" s="184">
        <f t="shared" si="107"/>
        <v>0.38899999999999996</v>
      </c>
      <c r="X356" s="56"/>
      <c r="Y356" s="161"/>
    </row>
    <row r="357" spans="1:25" ht="12.75">
      <c r="A357" s="198" t="s">
        <v>537</v>
      </c>
      <c r="B357" s="199"/>
      <c r="C357" s="18"/>
      <c r="D357" s="18" t="s">
        <v>282</v>
      </c>
      <c r="E357" s="139">
        <f>$E$314</f>
        <v>0.38899999999999996</v>
      </c>
      <c r="F357" s="287"/>
      <c r="G357" s="286">
        <f>SUMIF($E$11:$E$282,$D357,G$11:G$282)*$W357</f>
        <v>18424.595999999998</v>
      </c>
      <c r="H357" s="286">
        <f>SUMIF($E$11:$E$282,$D357,H$11:H$282)*$W357</f>
        <v>-2311.0489999999995</v>
      </c>
      <c r="I357" s="286">
        <f>M357-G357-H357-J357-K357-L357</f>
        <v>4.5474735088646412E-13</v>
      </c>
      <c r="J357" s="286">
        <f>SUMIF($E$11:$E$282,$D357,J$11:J$282)*$W357</f>
        <v>0</v>
      </c>
      <c r="K357" s="286">
        <f t="shared" si="105"/>
        <v>0</v>
      </c>
      <c r="L357" s="286">
        <f t="shared" si="105"/>
        <v>0</v>
      </c>
      <c r="M357" s="286">
        <f t="shared" si="105"/>
        <v>16113.546999999999</v>
      </c>
      <c r="N357" s="286">
        <f t="shared" si="105"/>
        <v>11468.886999999999</v>
      </c>
      <c r="O357" s="286">
        <f t="shared" si="105"/>
        <v>0</v>
      </c>
      <c r="P357" s="286">
        <f t="shared" si="105"/>
        <v>0</v>
      </c>
      <c r="Q357" s="286">
        <f t="shared" si="105"/>
        <v>0</v>
      </c>
      <c r="R357" s="286">
        <f t="shared" si="105"/>
        <v>0</v>
      </c>
      <c r="S357" s="286">
        <f t="shared" si="105"/>
        <v>27582.433999999997</v>
      </c>
      <c r="U357" s="56">
        <f>M357/E357</f>
        <v>41423</v>
      </c>
      <c r="W357" s="184">
        <f>$W$314</f>
        <v>0.38899999999999996</v>
      </c>
      <c r="X357" s="56"/>
      <c r="Y357" s="161"/>
    </row>
    <row r="358" spans="1:25" ht="12.75">
      <c r="A358" s="198" t="s">
        <v>290</v>
      </c>
      <c r="B358" s="199"/>
      <c r="C358" s="18"/>
      <c r="D358" s="18" t="s">
        <v>291</v>
      </c>
      <c r="E358" s="139">
        <f>$E$314</f>
        <v>0.38899999999999996</v>
      </c>
      <c r="F358" s="287"/>
      <c r="G358" s="286">
        <f>SUMIF($E$11:$E$282,$D358,G$11:G$282)*$W358</f>
        <v>0</v>
      </c>
      <c r="H358" s="286">
        <f>SUMIF($E$11:$E$282,$D358,H$11:H$282)*$W358</f>
        <v>0</v>
      </c>
      <c r="I358" s="286">
        <f>M358-G358-H358-J358-K358-L358</f>
        <v>0</v>
      </c>
      <c r="J358" s="286">
        <f>SUMIF($E$11:$E$282,$D358,J$11:J$282)*$W358</f>
        <v>0</v>
      </c>
      <c r="K358" s="286">
        <f t="shared" si="105"/>
        <v>0</v>
      </c>
      <c r="L358" s="286">
        <f t="shared" si="105"/>
        <v>0</v>
      </c>
      <c r="M358" s="286">
        <f t="shared" si="105"/>
        <v>0</v>
      </c>
      <c r="N358" s="286">
        <f t="shared" si="105"/>
        <v>0</v>
      </c>
      <c r="O358" s="286">
        <f t="shared" si="105"/>
        <v>0</v>
      </c>
      <c r="P358" s="286">
        <f t="shared" si="105"/>
        <v>0</v>
      </c>
      <c r="Q358" s="286">
        <f t="shared" si="105"/>
        <v>0</v>
      </c>
      <c r="R358" s="286">
        <f t="shared" si="105"/>
        <v>0</v>
      </c>
      <c r="S358" s="286">
        <f t="shared" si="105"/>
        <v>0</v>
      </c>
      <c r="U358" s="56">
        <f>M358/E358</f>
        <v>0</v>
      </c>
      <c r="W358" s="184">
        <f>$W$314</f>
        <v>0.38899999999999996</v>
      </c>
      <c r="X358" s="56"/>
      <c r="Y358" s="161"/>
    </row>
    <row r="359" spans="1:25" ht="12.75">
      <c r="A359" s="203" t="s">
        <v>538</v>
      </c>
      <c r="B359" s="192"/>
      <c r="C359" s="193"/>
      <c r="D359" s="193" t="s">
        <v>539</v>
      </c>
      <c r="E359" s="194">
        <f t="shared" si="101"/>
        <v>0.38899999999999996</v>
      </c>
      <c r="F359" s="291" t="s">
        <v>470</v>
      </c>
      <c r="G359" s="292">
        <f t="shared" si="102"/>
        <v>0</v>
      </c>
      <c r="H359" s="292">
        <f t="shared" si="102"/>
        <v>0</v>
      </c>
      <c r="I359" s="292">
        <f>M359-G359-H359-J359-K359-L359</f>
        <v>0</v>
      </c>
      <c r="J359" s="292">
        <f t="shared" si="104"/>
        <v>0</v>
      </c>
      <c r="K359" s="292">
        <f t="shared" si="105"/>
        <v>0</v>
      </c>
      <c r="L359" s="292">
        <f t="shared" si="105"/>
        <v>0</v>
      </c>
      <c r="M359" s="292">
        <f t="shared" si="105"/>
        <v>0</v>
      </c>
      <c r="N359" s="292">
        <f t="shared" si="105"/>
        <v>0</v>
      </c>
      <c r="O359" s="292">
        <f t="shared" si="105"/>
        <v>0</v>
      </c>
      <c r="P359" s="292">
        <f t="shared" si="105"/>
        <v>0</v>
      </c>
      <c r="Q359" s="292">
        <f t="shared" si="105"/>
        <v>0</v>
      </c>
      <c r="R359" s="292">
        <f t="shared" si="105"/>
        <v>0</v>
      </c>
      <c r="S359" s="292">
        <f t="shared" si="105"/>
        <v>0</v>
      </c>
      <c r="U359" s="56">
        <f t="shared" si="106"/>
        <v>0</v>
      </c>
      <c r="W359" s="197">
        <f t="shared" si="107"/>
        <v>0.38899999999999996</v>
      </c>
      <c r="X359" s="56"/>
      <c r="Y359" s="161"/>
    </row>
    <row r="360" spans="1:25" ht="12.75">
      <c r="A360" s="204" t="s">
        <v>540</v>
      </c>
      <c r="B360" s="192"/>
      <c r="C360" s="193"/>
      <c r="D360" s="193" t="s">
        <v>541</v>
      </c>
      <c r="E360" s="194"/>
      <c r="F360" s="291" t="s">
        <v>470</v>
      </c>
      <c r="G360" s="292">
        <f>SUM(G361:G363)</f>
        <v>61640.70270999999</v>
      </c>
      <c r="H360" s="292">
        <f>SUM(H361:H363)</f>
        <v>-30779.624999999996</v>
      </c>
      <c r="I360" s="292">
        <f t="shared" ref="I360:S360" si="108">SUM(I361:I363)</f>
        <v>-3.637978807091713E-12</v>
      </c>
      <c r="J360" s="292">
        <f>SUM(J361:J363)</f>
        <v>0</v>
      </c>
      <c r="K360" s="292">
        <f t="shared" si="108"/>
        <v>0</v>
      </c>
      <c r="L360" s="292">
        <f t="shared" si="108"/>
        <v>0</v>
      </c>
      <c r="M360" s="292">
        <f>SUM(M361:M363)</f>
        <v>30861.077709999994</v>
      </c>
      <c r="N360" s="292">
        <f t="shared" si="108"/>
        <v>5636.2209999999995</v>
      </c>
      <c r="O360" s="292">
        <f t="shared" si="108"/>
        <v>0</v>
      </c>
      <c r="P360" s="292">
        <f t="shared" si="108"/>
        <v>0</v>
      </c>
      <c r="Q360" s="292">
        <f t="shared" si="108"/>
        <v>0</v>
      </c>
      <c r="R360" s="292">
        <f t="shared" si="108"/>
        <v>0</v>
      </c>
      <c r="S360" s="292">
        <f t="shared" si="108"/>
        <v>36497.298709999995</v>
      </c>
      <c r="U360" s="56"/>
      <c r="W360" s="197"/>
      <c r="X360" s="56"/>
      <c r="Y360" s="161"/>
    </row>
    <row r="361" spans="1:25" ht="12.75">
      <c r="A361" s="198" t="s">
        <v>542</v>
      </c>
      <c r="B361" s="199"/>
      <c r="C361" s="18"/>
      <c r="D361" s="18" t="s">
        <v>213</v>
      </c>
      <c r="E361" s="139">
        <f>$E$314</f>
        <v>0.38899999999999996</v>
      </c>
      <c r="F361" s="287"/>
      <c r="G361" s="286">
        <f t="shared" ref="G361:H364" si="109">SUMIF($E$11:$E$282,$D361,G$11:G$282)*$W361</f>
        <v>51374.840999999993</v>
      </c>
      <c r="H361" s="286">
        <f t="shared" si="109"/>
        <v>0</v>
      </c>
      <c r="I361" s="286">
        <f>M361-G361-H361-J361-K361-L361</f>
        <v>0</v>
      </c>
      <c r="J361" s="286">
        <f>SUMIF($E$11:$E$282,$D361,J$11:J$282)*$W361</f>
        <v>0</v>
      </c>
      <c r="K361" s="286">
        <f t="shared" ref="K361:S364" si="110">SUMIF($E$11:$E$282,$D361,K$11:K$282)*$E361</f>
        <v>0</v>
      </c>
      <c r="L361" s="286">
        <f t="shared" si="110"/>
        <v>0</v>
      </c>
      <c r="M361" s="286">
        <f t="shared" si="110"/>
        <v>51374.840999999993</v>
      </c>
      <c r="N361" s="286">
        <f t="shared" si="110"/>
        <v>0</v>
      </c>
      <c r="O361" s="286">
        <f t="shared" si="110"/>
        <v>0</v>
      </c>
      <c r="P361" s="286">
        <f t="shared" si="110"/>
        <v>0</v>
      </c>
      <c r="Q361" s="286">
        <f t="shared" si="110"/>
        <v>0</v>
      </c>
      <c r="R361" s="286">
        <f t="shared" si="110"/>
        <v>0</v>
      </c>
      <c r="S361" s="286">
        <f t="shared" si="110"/>
        <v>51374.840999999993</v>
      </c>
      <c r="U361" s="56">
        <f>M361/E361</f>
        <v>132069</v>
      </c>
      <c r="W361" s="184">
        <f>$W$314</f>
        <v>0.38899999999999996</v>
      </c>
      <c r="X361" s="56"/>
      <c r="Y361" s="161"/>
    </row>
    <row r="362" spans="1:25" ht="12.75">
      <c r="A362" s="198" t="s">
        <v>543</v>
      </c>
      <c r="B362" s="199"/>
      <c r="C362" s="18"/>
      <c r="D362" s="18" t="s">
        <v>216</v>
      </c>
      <c r="E362" s="139">
        <f>$E$314</f>
        <v>0.38899999999999996</v>
      </c>
      <c r="F362" s="287"/>
      <c r="G362" s="286">
        <f t="shared" si="109"/>
        <v>10265.861709999999</v>
      </c>
      <c r="H362" s="286">
        <f t="shared" si="109"/>
        <v>-30779.624999999996</v>
      </c>
      <c r="I362" s="286">
        <f>M362-G362-H362-J362-K362-L362</f>
        <v>-3.637978807091713E-12</v>
      </c>
      <c r="J362" s="286">
        <f>SUMIF($E$11:$E$282,$D362,J$11:J$282)*$W362</f>
        <v>0</v>
      </c>
      <c r="K362" s="286">
        <f t="shared" si="110"/>
        <v>0</v>
      </c>
      <c r="L362" s="286">
        <f t="shared" si="110"/>
        <v>0</v>
      </c>
      <c r="M362" s="286">
        <f t="shared" si="110"/>
        <v>-20513.763289999999</v>
      </c>
      <c r="N362" s="286">
        <f t="shared" si="110"/>
        <v>5636.2209999999995</v>
      </c>
      <c r="O362" s="286">
        <f t="shared" si="110"/>
        <v>0</v>
      </c>
      <c r="P362" s="286">
        <f t="shared" si="110"/>
        <v>0</v>
      </c>
      <c r="Q362" s="286">
        <f t="shared" si="110"/>
        <v>0</v>
      </c>
      <c r="R362" s="286">
        <f t="shared" si="110"/>
        <v>0</v>
      </c>
      <c r="S362" s="286">
        <f t="shared" si="110"/>
        <v>-14877.542289999999</v>
      </c>
      <c r="U362" s="56">
        <f>M362/E362</f>
        <v>-52734.61</v>
      </c>
      <c r="W362" s="184">
        <f>$W$314</f>
        <v>0.38899999999999996</v>
      </c>
      <c r="X362" s="56"/>
      <c r="Y362" s="161"/>
    </row>
    <row r="363" spans="1:25" ht="12.75">
      <c r="A363" s="198" t="s">
        <v>544</v>
      </c>
      <c r="B363" s="199"/>
      <c r="C363" s="18"/>
      <c r="D363" s="18" t="s">
        <v>545</v>
      </c>
      <c r="E363" s="139">
        <f>$E$314</f>
        <v>0.38899999999999996</v>
      </c>
      <c r="F363" s="287"/>
      <c r="G363" s="286">
        <f t="shared" si="109"/>
        <v>0</v>
      </c>
      <c r="H363" s="286">
        <f t="shared" si="109"/>
        <v>0</v>
      </c>
      <c r="I363" s="286">
        <f>M363-G363-H363-J363-K363-L363</f>
        <v>0</v>
      </c>
      <c r="J363" s="286">
        <f>SUMIF($E$11:$E$282,$D363,J$11:J$282)*$W363</f>
        <v>0</v>
      </c>
      <c r="K363" s="286">
        <f t="shared" si="110"/>
        <v>0</v>
      </c>
      <c r="L363" s="286">
        <f t="shared" si="110"/>
        <v>0</v>
      </c>
      <c r="M363" s="286">
        <f t="shared" si="110"/>
        <v>0</v>
      </c>
      <c r="N363" s="286">
        <f t="shared" si="110"/>
        <v>0</v>
      </c>
      <c r="O363" s="286">
        <f t="shared" si="110"/>
        <v>0</v>
      </c>
      <c r="P363" s="286">
        <f t="shared" si="110"/>
        <v>0</v>
      </c>
      <c r="Q363" s="286">
        <f t="shared" si="110"/>
        <v>0</v>
      </c>
      <c r="R363" s="286">
        <f t="shared" si="110"/>
        <v>0</v>
      </c>
      <c r="S363" s="286">
        <f t="shared" si="110"/>
        <v>0</v>
      </c>
      <c r="U363" s="56">
        <f>M363/E363</f>
        <v>0</v>
      </c>
      <c r="W363" s="184">
        <f>$W$314</f>
        <v>0.38899999999999996</v>
      </c>
      <c r="X363" s="56"/>
      <c r="Y363" s="161"/>
    </row>
    <row r="364" spans="1:25" ht="12.75">
      <c r="A364" s="204" t="s">
        <v>546</v>
      </c>
      <c r="B364" s="192"/>
      <c r="C364" s="205"/>
      <c r="D364" s="205" t="s">
        <v>88</v>
      </c>
      <c r="E364" s="194">
        <f>$E$314</f>
        <v>0.38899999999999996</v>
      </c>
      <c r="F364" s="291" t="s">
        <v>470</v>
      </c>
      <c r="G364" s="292">
        <f t="shared" si="109"/>
        <v>0</v>
      </c>
      <c r="H364" s="292">
        <f t="shared" si="109"/>
        <v>0</v>
      </c>
      <c r="I364" s="292">
        <f>M364-G364-H364-J364-K364-L364</f>
        <v>0</v>
      </c>
      <c r="J364" s="292">
        <f>SUMIF($E$11:$E$282,$D364,J$11:J$282)*$W364</f>
        <v>0</v>
      </c>
      <c r="K364" s="292">
        <f t="shared" si="110"/>
        <v>0</v>
      </c>
      <c r="L364" s="292">
        <f t="shared" si="110"/>
        <v>0</v>
      </c>
      <c r="M364" s="292">
        <f t="shared" si="110"/>
        <v>0</v>
      </c>
      <c r="N364" s="292">
        <f t="shared" si="110"/>
        <v>0</v>
      </c>
      <c r="O364" s="292">
        <f t="shared" si="110"/>
        <v>0</v>
      </c>
      <c r="P364" s="292">
        <f t="shared" si="110"/>
        <v>0</v>
      </c>
      <c r="Q364" s="292">
        <f t="shared" si="110"/>
        <v>0</v>
      </c>
      <c r="R364" s="292">
        <f t="shared" si="110"/>
        <v>0</v>
      </c>
      <c r="S364" s="292">
        <f t="shared" si="110"/>
        <v>0</v>
      </c>
      <c r="U364" s="56">
        <f>M364/E364</f>
        <v>0</v>
      </c>
      <c r="W364" s="197">
        <f>$W$314</f>
        <v>0.38899999999999996</v>
      </c>
      <c r="X364" s="56"/>
      <c r="Y364" s="161"/>
    </row>
    <row r="365" spans="1:25" ht="12.75">
      <c r="A365" s="206" t="s">
        <v>547</v>
      </c>
      <c r="B365" s="207"/>
      <c r="C365" s="208"/>
      <c r="D365" s="208"/>
      <c r="E365" s="209"/>
      <c r="F365" s="293" t="s">
        <v>470</v>
      </c>
      <c r="G365" s="294">
        <f>SUMIF($F$310:$F$364,$F365,G$310:G$364)</f>
        <v>25186396.516482692</v>
      </c>
      <c r="H365" s="294">
        <f t="shared" ref="H365:S365" si="111">SUMIF($F$310:$F$364,$F365,H$310:H$364)</f>
        <v>75445.949099999998</v>
      </c>
      <c r="I365" s="294">
        <f t="shared" si="111"/>
        <v>6.2606336781456662E-10</v>
      </c>
      <c r="J365" s="294">
        <f t="shared" si="111"/>
        <v>933852.46099999978</v>
      </c>
      <c r="K365" s="294">
        <f t="shared" si="111"/>
        <v>0</v>
      </c>
      <c r="L365" s="294">
        <f t="shared" si="111"/>
        <v>0</v>
      </c>
      <c r="M365" s="294">
        <f t="shared" si="111"/>
        <v>26195694.926582694</v>
      </c>
      <c r="N365" s="294">
        <f t="shared" si="111"/>
        <v>-773091.94542044064</v>
      </c>
      <c r="O365" s="294">
        <f t="shared" si="111"/>
        <v>0</v>
      </c>
      <c r="P365" s="294">
        <f t="shared" si="111"/>
        <v>-32986.048559999996</v>
      </c>
      <c r="Q365" s="294">
        <f t="shared" si="111"/>
        <v>0</v>
      </c>
      <c r="R365" s="294">
        <f t="shared" si="111"/>
        <v>0</v>
      </c>
      <c r="S365" s="294">
        <f t="shared" si="111"/>
        <v>25389616.932602257</v>
      </c>
      <c r="U365" s="56"/>
      <c r="W365" s="212"/>
      <c r="X365" s="56"/>
      <c r="Y365" s="161"/>
    </row>
    <row r="366" spans="1:25" ht="12.75">
      <c r="A366" s="162"/>
      <c r="B366" s="166"/>
      <c r="C366" s="82"/>
      <c r="D366" s="82"/>
      <c r="E366" s="139"/>
      <c r="F366" s="295"/>
      <c r="G366" s="286"/>
      <c r="L366" s="214"/>
      <c r="M366" s="214"/>
      <c r="N366" s="214"/>
      <c r="P366" s="88"/>
      <c r="U366" s="56"/>
      <c r="W366" s="184"/>
      <c r="X366" s="56"/>
      <c r="Y366" s="161"/>
    </row>
    <row r="367" spans="1:25" ht="12.75">
      <c r="A367" s="162" t="s">
        <v>548</v>
      </c>
      <c r="B367" s="199"/>
      <c r="C367" s="166"/>
      <c r="D367" s="166" t="s">
        <v>345</v>
      </c>
      <c r="E367" s="139">
        <f>$E$325</f>
        <v>0.35</v>
      </c>
      <c r="F367" s="287"/>
      <c r="G367" s="286">
        <f t="shared" ref="G367:S367" si="112">-SUMIF($E$11:$E$282,$D367,G$11:G$282)*$E367</f>
        <v>0</v>
      </c>
      <c r="H367" s="286">
        <f t="shared" si="112"/>
        <v>0</v>
      </c>
      <c r="I367" s="286">
        <f t="shared" si="112"/>
        <v>0</v>
      </c>
      <c r="J367" s="286">
        <f t="shared" si="112"/>
        <v>0</v>
      </c>
      <c r="K367" s="286">
        <f t="shared" si="112"/>
        <v>0</v>
      </c>
      <c r="L367" s="286">
        <f t="shared" si="112"/>
        <v>0</v>
      </c>
      <c r="M367" s="286">
        <f t="shared" si="112"/>
        <v>0</v>
      </c>
      <c r="N367" s="286">
        <f t="shared" si="112"/>
        <v>0</v>
      </c>
      <c r="O367" s="286">
        <f t="shared" si="112"/>
        <v>0</v>
      </c>
      <c r="P367" s="286">
        <f t="shared" si="112"/>
        <v>0</v>
      </c>
      <c r="Q367" s="286">
        <f t="shared" si="112"/>
        <v>0</v>
      </c>
      <c r="R367" s="286">
        <f t="shared" si="112"/>
        <v>0</v>
      </c>
      <c r="S367" s="286">
        <f t="shared" si="112"/>
        <v>0</v>
      </c>
      <c r="U367" s="56">
        <f>M367/E367</f>
        <v>0</v>
      </c>
      <c r="W367" s="184">
        <f>$E$325</f>
        <v>0.35</v>
      </c>
      <c r="X367" s="56"/>
      <c r="Y367" s="161"/>
    </row>
    <row r="368" spans="1:25" ht="12.75">
      <c r="A368" s="206" t="s">
        <v>549</v>
      </c>
      <c r="B368" s="207"/>
      <c r="C368" s="208"/>
      <c r="D368" s="208"/>
      <c r="E368" s="209"/>
      <c r="F368" s="293" t="s">
        <v>345</v>
      </c>
      <c r="G368" s="294">
        <f>G365-G367</f>
        <v>25186396.516482692</v>
      </c>
      <c r="H368" s="294">
        <f t="shared" ref="H368:S368" si="113">H365-H367</f>
        <v>75445.949099999998</v>
      </c>
      <c r="I368" s="294">
        <f t="shared" si="113"/>
        <v>6.2606336781456662E-10</v>
      </c>
      <c r="J368" s="294">
        <f t="shared" si="113"/>
        <v>933852.46099999978</v>
      </c>
      <c r="K368" s="294">
        <f t="shared" si="113"/>
        <v>0</v>
      </c>
      <c r="L368" s="294">
        <f t="shared" si="113"/>
        <v>0</v>
      </c>
      <c r="M368" s="294">
        <f t="shared" si="113"/>
        <v>26195694.926582694</v>
      </c>
      <c r="N368" s="294">
        <f t="shared" si="113"/>
        <v>-773091.94542044064</v>
      </c>
      <c r="O368" s="294">
        <f t="shared" si="113"/>
        <v>0</v>
      </c>
      <c r="P368" s="294">
        <f t="shared" si="113"/>
        <v>-32986.048559999996</v>
      </c>
      <c r="Q368" s="294">
        <f t="shared" si="113"/>
        <v>0</v>
      </c>
      <c r="R368" s="294">
        <f t="shared" si="113"/>
        <v>0</v>
      </c>
      <c r="S368" s="294">
        <f t="shared" si="113"/>
        <v>25389616.932602257</v>
      </c>
      <c r="U368" s="56"/>
      <c r="W368" s="212"/>
      <c r="X368" s="56"/>
      <c r="Y368" s="161"/>
    </row>
    <row r="369" spans="1:25" ht="12.75">
      <c r="A369" s="162"/>
      <c r="B369" s="166"/>
      <c r="C369" s="82"/>
      <c r="D369" s="82"/>
      <c r="E369" s="139"/>
      <c r="F369" s="287"/>
      <c r="G369" s="286"/>
      <c r="L369" s="214"/>
      <c r="M369" s="214"/>
      <c r="N369" s="214"/>
      <c r="P369" s="88"/>
      <c r="U369" s="56"/>
      <c r="W369" s="184"/>
      <c r="X369" s="56"/>
      <c r="Y369" s="161"/>
    </row>
    <row r="370" spans="1:25" ht="12.75">
      <c r="A370" s="185" t="s">
        <v>550</v>
      </c>
      <c r="B370" s="186"/>
      <c r="C370" s="186"/>
      <c r="D370" s="186"/>
      <c r="E370" s="188"/>
      <c r="F370" s="290"/>
      <c r="G370" s="286"/>
      <c r="L370" s="214"/>
      <c r="M370" s="214"/>
      <c r="N370" s="214"/>
      <c r="P370" s="88"/>
      <c r="U370" s="56"/>
      <c r="W370" s="190"/>
      <c r="X370" s="56"/>
      <c r="Y370" s="161"/>
    </row>
    <row r="371" spans="1:25" ht="12.75">
      <c r="A371" s="191" t="s">
        <v>551</v>
      </c>
      <c r="B371" s="193"/>
      <c r="C371" s="193"/>
      <c r="D371" s="193" t="s">
        <v>552</v>
      </c>
      <c r="E371" s="194"/>
      <c r="F371" s="291" t="s">
        <v>553</v>
      </c>
      <c r="G371" s="292">
        <f>SUM(G372:G386)</f>
        <v>-70382990.29781653</v>
      </c>
      <c r="H371" s="292">
        <f>SUM(H372:H386)</f>
        <v>2048219.8833300688</v>
      </c>
      <c r="I371" s="292">
        <f t="shared" ref="I371:S371" si="114">SUM(I372:I386)</f>
        <v>6.8539520725607872E-9</v>
      </c>
      <c r="J371" s="292">
        <f>SUM(J372:J386)</f>
        <v>177501.86699999997</v>
      </c>
      <c r="K371" s="292">
        <f t="shared" si="114"/>
        <v>0</v>
      </c>
      <c r="L371" s="292">
        <f t="shared" si="114"/>
        <v>0</v>
      </c>
      <c r="M371" s="292">
        <f>SUM(M372:M386)</f>
        <v>-68157268.547486439</v>
      </c>
      <c r="N371" s="292">
        <f t="shared" si="114"/>
        <v>-43221787.181408912</v>
      </c>
      <c r="O371" s="292">
        <f t="shared" si="114"/>
        <v>0</v>
      </c>
      <c r="P371" s="292">
        <f t="shared" si="114"/>
        <v>0</v>
      </c>
      <c r="Q371" s="292">
        <f t="shared" si="114"/>
        <v>0</v>
      </c>
      <c r="R371" s="292">
        <f t="shared" si="114"/>
        <v>0</v>
      </c>
      <c r="S371" s="292">
        <f t="shared" si="114"/>
        <v>-111379055.72889535</v>
      </c>
      <c r="U371" s="56"/>
      <c r="W371" s="197"/>
      <c r="X371" s="56"/>
      <c r="Y371" s="161"/>
    </row>
    <row r="372" spans="1:25" ht="12.75">
      <c r="A372" s="198" t="s">
        <v>554</v>
      </c>
      <c r="B372" s="199"/>
      <c r="C372" s="18"/>
      <c r="D372" s="18" t="s">
        <v>90</v>
      </c>
      <c r="E372" s="139">
        <f t="shared" ref="E372:E385" si="115">$E$314</f>
        <v>0.38899999999999996</v>
      </c>
      <c r="F372" s="287"/>
      <c r="G372" s="286">
        <f t="shared" ref="G372:H386" si="116">SUMIF($E$11:$E$282,$D372,G$11:G$282)*$W372</f>
        <v>-31333354.946259897</v>
      </c>
      <c r="H372" s="286">
        <f t="shared" si="116"/>
        <v>501019.79317999998</v>
      </c>
      <c r="I372" s="286">
        <f t="shared" ref="I372:I386" si="117">M372-G372-H372-J372-K372-L372</f>
        <v>8.149072527885437E-10</v>
      </c>
      <c r="J372" s="286">
        <f t="shared" ref="J372:J386" si="118">SUMIF($E$11:$E$282,$D372,J$11:J$282)*$W372</f>
        <v>-857096.92599999986</v>
      </c>
      <c r="K372" s="286">
        <f t="shared" ref="K372:S386" si="119">SUMIF($E$11:$E$282,$D372,K$11:K$282)*$E372</f>
        <v>0</v>
      </c>
      <c r="L372" s="286">
        <f t="shared" si="119"/>
        <v>0</v>
      </c>
      <c r="M372" s="286">
        <f t="shared" si="119"/>
        <v>-31689432.079079896</v>
      </c>
      <c r="N372" s="286">
        <f t="shared" si="119"/>
        <v>-1169114.4756299998</v>
      </c>
      <c r="O372" s="286">
        <f t="shared" si="119"/>
        <v>0</v>
      </c>
      <c r="P372" s="286">
        <f t="shared" si="119"/>
        <v>0</v>
      </c>
      <c r="Q372" s="286">
        <f t="shared" si="119"/>
        <v>0</v>
      </c>
      <c r="R372" s="286">
        <f t="shared" si="119"/>
        <v>0</v>
      </c>
      <c r="S372" s="286">
        <f t="shared" si="119"/>
        <v>-32858546.554709896</v>
      </c>
      <c r="U372" s="56">
        <f t="shared" ref="U372:U386" si="120">M372/E372</f>
        <v>-81463835.678868636</v>
      </c>
      <c r="W372" s="184">
        <f t="shared" ref="W372:W385" si="121">$W$314</f>
        <v>0.38899999999999996</v>
      </c>
      <c r="X372" s="56"/>
      <c r="Y372" s="161"/>
    </row>
    <row r="373" spans="1:25" ht="12.75">
      <c r="A373" s="198" t="s">
        <v>555</v>
      </c>
      <c r="B373" s="199"/>
      <c r="C373" s="18"/>
      <c r="D373" s="18" t="s">
        <v>556</v>
      </c>
      <c r="E373" s="139">
        <f t="shared" si="115"/>
        <v>0.38899999999999996</v>
      </c>
      <c r="F373" s="287"/>
      <c r="G373" s="286">
        <f t="shared" si="116"/>
        <v>0</v>
      </c>
      <c r="H373" s="286">
        <f t="shared" si="116"/>
        <v>0</v>
      </c>
      <c r="I373" s="286">
        <f t="shared" si="117"/>
        <v>0</v>
      </c>
      <c r="J373" s="286">
        <f t="shared" si="118"/>
        <v>0</v>
      </c>
      <c r="K373" s="286">
        <f t="shared" si="119"/>
        <v>0</v>
      </c>
      <c r="L373" s="286">
        <f t="shared" si="119"/>
        <v>0</v>
      </c>
      <c r="M373" s="286">
        <f t="shared" si="119"/>
        <v>0</v>
      </c>
      <c r="N373" s="286">
        <f t="shared" si="119"/>
        <v>0</v>
      </c>
      <c r="O373" s="286">
        <f t="shared" si="119"/>
        <v>0</v>
      </c>
      <c r="P373" s="286">
        <f t="shared" si="119"/>
        <v>0</v>
      </c>
      <c r="Q373" s="286">
        <f t="shared" si="119"/>
        <v>0</v>
      </c>
      <c r="R373" s="286">
        <f t="shared" si="119"/>
        <v>0</v>
      </c>
      <c r="S373" s="286">
        <f t="shared" si="119"/>
        <v>0</v>
      </c>
      <c r="U373" s="56">
        <f t="shared" si="120"/>
        <v>0</v>
      </c>
      <c r="W373" s="184">
        <f t="shared" si="121"/>
        <v>0.38899999999999996</v>
      </c>
      <c r="X373" s="56"/>
      <c r="Y373" s="161"/>
    </row>
    <row r="374" spans="1:25" ht="12.75">
      <c r="A374" s="198" t="s">
        <v>557</v>
      </c>
      <c r="B374" s="199"/>
      <c r="C374" s="18"/>
      <c r="D374" s="18" t="s">
        <v>113</v>
      </c>
      <c r="E374" s="139">
        <f t="shared" si="115"/>
        <v>0.38899999999999996</v>
      </c>
      <c r="F374" s="287"/>
      <c r="G374" s="286">
        <f t="shared" si="116"/>
        <v>-44201103.074765638</v>
      </c>
      <c r="H374" s="286">
        <f t="shared" si="116"/>
        <v>1617330.6361500688</v>
      </c>
      <c r="I374" s="286">
        <f t="shared" si="117"/>
        <v>6.0535967350006104E-9</v>
      </c>
      <c r="J374" s="286">
        <f t="shared" si="118"/>
        <v>1034598.7929999998</v>
      </c>
      <c r="K374" s="286">
        <f t="shared" si="119"/>
        <v>0</v>
      </c>
      <c r="L374" s="286">
        <f t="shared" si="119"/>
        <v>0</v>
      </c>
      <c r="M374" s="286">
        <f t="shared" si="119"/>
        <v>-41549173.645615563</v>
      </c>
      <c r="N374" s="286">
        <f t="shared" si="119"/>
        <v>-47099393.678487368</v>
      </c>
      <c r="O374" s="286">
        <f t="shared" si="119"/>
        <v>0</v>
      </c>
      <c r="P374" s="286">
        <f t="shared" si="119"/>
        <v>0</v>
      </c>
      <c r="Q374" s="286">
        <f t="shared" si="119"/>
        <v>0</v>
      </c>
      <c r="R374" s="286">
        <f t="shared" si="119"/>
        <v>0</v>
      </c>
      <c r="S374" s="286">
        <f t="shared" si="119"/>
        <v>-88648567.324102938</v>
      </c>
      <c r="U374" s="56">
        <f t="shared" si="120"/>
        <v>-106810215.02728938</v>
      </c>
      <c r="W374" s="184">
        <f t="shared" si="121"/>
        <v>0.38899999999999996</v>
      </c>
      <c r="X374" s="56"/>
      <c r="Y374" s="161"/>
    </row>
    <row r="375" spans="1:25" ht="12.75">
      <c r="A375" s="198" t="s">
        <v>558</v>
      </c>
      <c r="B375" s="199"/>
      <c r="C375" s="18"/>
      <c r="D375" s="18" t="s">
        <v>118</v>
      </c>
      <c r="E375" s="139">
        <f t="shared" si="115"/>
        <v>0.38899999999999996</v>
      </c>
      <c r="F375" s="287"/>
      <c r="G375" s="286">
        <f t="shared" si="116"/>
        <v>4316929.4449999994</v>
      </c>
      <c r="H375" s="286">
        <f t="shared" si="116"/>
        <v>0</v>
      </c>
      <c r="I375" s="286">
        <f t="shared" si="117"/>
        <v>0</v>
      </c>
      <c r="J375" s="286">
        <f t="shared" si="118"/>
        <v>0</v>
      </c>
      <c r="K375" s="286">
        <f t="shared" si="119"/>
        <v>0</v>
      </c>
      <c r="L375" s="286">
        <f t="shared" si="119"/>
        <v>0</v>
      </c>
      <c r="M375" s="286">
        <f t="shared" si="119"/>
        <v>4316929.4449999994</v>
      </c>
      <c r="N375" s="286">
        <f t="shared" si="119"/>
        <v>567949.33599999989</v>
      </c>
      <c r="O375" s="286">
        <f t="shared" si="119"/>
        <v>0</v>
      </c>
      <c r="P375" s="286">
        <f t="shared" si="119"/>
        <v>0</v>
      </c>
      <c r="Q375" s="286">
        <f t="shared" si="119"/>
        <v>0</v>
      </c>
      <c r="R375" s="286">
        <f t="shared" si="119"/>
        <v>0</v>
      </c>
      <c r="S375" s="286">
        <f t="shared" si="119"/>
        <v>4884878.7809999995</v>
      </c>
      <c r="U375" s="56">
        <f t="shared" si="120"/>
        <v>11097505</v>
      </c>
      <c r="W375" s="184">
        <f t="shared" si="121"/>
        <v>0.38899999999999996</v>
      </c>
      <c r="X375" s="56"/>
      <c r="Y375" s="161"/>
    </row>
    <row r="376" spans="1:25" ht="12.75">
      <c r="A376" s="198" t="s">
        <v>559</v>
      </c>
      <c r="B376" s="199"/>
      <c r="C376" s="18"/>
      <c r="D376" s="18" t="s">
        <v>146</v>
      </c>
      <c r="E376" s="139">
        <f t="shared" si="115"/>
        <v>0.38899999999999996</v>
      </c>
      <c r="F376" s="287"/>
      <c r="G376" s="286">
        <f t="shared" si="116"/>
        <v>19106.901999999998</v>
      </c>
      <c r="H376" s="286">
        <f t="shared" si="116"/>
        <v>57955.164999999994</v>
      </c>
      <c r="I376" s="286">
        <f t="shared" si="117"/>
        <v>0</v>
      </c>
      <c r="J376" s="286">
        <f t="shared" si="118"/>
        <v>0</v>
      </c>
      <c r="K376" s="286">
        <f t="shared" si="119"/>
        <v>0</v>
      </c>
      <c r="L376" s="286">
        <f t="shared" si="119"/>
        <v>0</v>
      </c>
      <c r="M376" s="286">
        <f t="shared" si="119"/>
        <v>77062.066999999995</v>
      </c>
      <c r="N376" s="286">
        <f t="shared" si="119"/>
        <v>0</v>
      </c>
      <c r="O376" s="286">
        <f t="shared" si="119"/>
        <v>0</v>
      </c>
      <c r="P376" s="286">
        <f t="shared" si="119"/>
        <v>0</v>
      </c>
      <c r="Q376" s="286">
        <f t="shared" si="119"/>
        <v>0</v>
      </c>
      <c r="R376" s="286">
        <f t="shared" si="119"/>
        <v>0</v>
      </c>
      <c r="S376" s="286">
        <f t="shared" si="119"/>
        <v>77062.066999999995</v>
      </c>
      <c r="U376" s="56">
        <f t="shared" si="120"/>
        <v>198103</v>
      </c>
      <c r="W376" s="184">
        <f t="shared" si="121"/>
        <v>0.38899999999999996</v>
      </c>
      <c r="X376" s="56"/>
      <c r="Y376" s="161"/>
    </row>
    <row r="377" spans="1:25" ht="12.75">
      <c r="A377" s="200" t="s">
        <v>476</v>
      </c>
      <c r="B377" s="199"/>
      <c r="C377" s="201"/>
      <c r="D377" s="201" t="s">
        <v>560</v>
      </c>
      <c r="E377" s="139">
        <f t="shared" si="115"/>
        <v>0.38899999999999996</v>
      </c>
      <c r="F377" s="287"/>
      <c r="G377" s="286">
        <f t="shared" si="116"/>
        <v>0</v>
      </c>
      <c r="H377" s="286">
        <f t="shared" si="116"/>
        <v>0</v>
      </c>
      <c r="I377" s="286">
        <f t="shared" si="117"/>
        <v>0</v>
      </c>
      <c r="J377" s="286">
        <f t="shared" si="118"/>
        <v>0</v>
      </c>
      <c r="K377" s="286">
        <f t="shared" si="119"/>
        <v>0</v>
      </c>
      <c r="L377" s="286">
        <f t="shared" si="119"/>
        <v>0</v>
      </c>
      <c r="M377" s="286">
        <f t="shared" si="119"/>
        <v>0</v>
      </c>
      <c r="N377" s="286">
        <f t="shared" si="119"/>
        <v>0</v>
      </c>
      <c r="O377" s="286">
        <f t="shared" si="119"/>
        <v>0</v>
      </c>
      <c r="P377" s="286">
        <f t="shared" si="119"/>
        <v>0</v>
      </c>
      <c r="Q377" s="286">
        <f t="shared" si="119"/>
        <v>0</v>
      </c>
      <c r="R377" s="286">
        <f t="shared" si="119"/>
        <v>0</v>
      </c>
      <c r="S377" s="286">
        <f t="shared" si="119"/>
        <v>0</v>
      </c>
      <c r="U377" s="56">
        <f t="shared" si="120"/>
        <v>0</v>
      </c>
      <c r="W377" s="184">
        <f t="shared" si="121"/>
        <v>0.38899999999999996</v>
      </c>
      <c r="X377" s="56"/>
      <c r="Y377" s="161"/>
    </row>
    <row r="378" spans="1:25" ht="12.75">
      <c r="A378" s="200" t="s">
        <v>561</v>
      </c>
      <c r="B378" s="199"/>
      <c r="C378" s="201"/>
      <c r="D378" s="201" t="s">
        <v>562</v>
      </c>
      <c r="E378" s="139">
        <f t="shared" si="115"/>
        <v>0.38899999999999996</v>
      </c>
      <c r="F378" s="287"/>
      <c r="G378" s="286">
        <f t="shared" si="116"/>
        <v>0</v>
      </c>
      <c r="H378" s="286">
        <f t="shared" si="116"/>
        <v>0</v>
      </c>
      <c r="I378" s="286">
        <f t="shared" si="117"/>
        <v>0</v>
      </c>
      <c r="J378" s="286">
        <f t="shared" si="118"/>
        <v>0</v>
      </c>
      <c r="K378" s="286">
        <f t="shared" si="119"/>
        <v>0</v>
      </c>
      <c r="L378" s="286">
        <f t="shared" si="119"/>
        <v>0</v>
      </c>
      <c r="M378" s="286">
        <f t="shared" si="119"/>
        <v>0</v>
      </c>
      <c r="N378" s="286">
        <f t="shared" si="119"/>
        <v>0</v>
      </c>
      <c r="O378" s="286">
        <f t="shared" si="119"/>
        <v>0</v>
      </c>
      <c r="P378" s="286">
        <f t="shared" si="119"/>
        <v>0</v>
      </c>
      <c r="Q378" s="286">
        <f t="shared" si="119"/>
        <v>0</v>
      </c>
      <c r="R378" s="286">
        <f t="shared" si="119"/>
        <v>0</v>
      </c>
      <c r="S378" s="286">
        <f t="shared" si="119"/>
        <v>0</v>
      </c>
      <c r="U378" s="56">
        <f t="shared" si="120"/>
        <v>0</v>
      </c>
      <c r="W378" s="184">
        <f t="shared" si="121"/>
        <v>0.38899999999999996</v>
      </c>
      <c r="X378" s="56"/>
      <c r="Y378" s="161"/>
    </row>
    <row r="379" spans="1:25" ht="12.75">
      <c r="A379" s="198" t="s">
        <v>563</v>
      </c>
      <c r="B379" s="199"/>
      <c r="C379" s="18"/>
      <c r="D379" s="18" t="s">
        <v>564</v>
      </c>
      <c r="E379" s="139">
        <f t="shared" si="115"/>
        <v>0.38899999999999996</v>
      </c>
      <c r="F379" s="287"/>
      <c r="G379" s="286">
        <f t="shared" si="116"/>
        <v>0</v>
      </c>
      <c r="H379" s="286">
        <f t="shared" si="116"/>
        <v>0</v>
      </c>
      <c r="I379" s="286">
        <f t="shared" si="117"/>
        <v>0</v>
      </c>
      <c r="J379" s="286">
        <f t="shared" si="118"/>
        <v>0</v>
      </c>
      <c r="K379" s="286">
        <f t="shared" si="119"/>
        <v>0</v>
      </c>
      <c r="L379" s="286">
        <f t="shared" si="119"/>
        <v>0</v>
      </c>
      <c r="M379" s="286">
        <f t="shared" si="119"/>
        <v>0</v>
      </c>
      <c r="N379" s="286">
        <f t="shared" si="119"/>
        <v>0</v>
      </c>
      <c r="O379" s="286">
        <f t="shared" si="119"/>
        <v>0</v>
      </c>
      <c r="P379" s="286">
        <f t="shared" si="119"/>
        <v>0</v>
      </c>
      <c r="Q379" s="286">
        <f t="shared" si="119"/>
        <v>0</v>
      </c>
      <c r="R379" s="286">
        <f t="shared" si="119"/>
        <v>0</v>
      </c>
      <c r="S379" s="286">
        <f t="shared" si="119"/>
        <v>0</v>
      </c>
      <c r="U379" s="56">
        <f t="shared" si="120"/>
        <v>0</v>
      </c>
      <c r="W379" s="184">
        <f t="shared" si="121"/>
        <v>0.38899999999999996</v>
      </c>
      <c r="X379" s="56"/>
      <c r="Y379" s="161"/>
    </row>
    <row r="380" spans="1:25" ht="12.75">
      <c r="A380" s="215" t="s">
        <v>565</v>
      </c>
      <c r="B380" s="199"/>
      <c r="C380" s="201"/>
      <c r="D380" s="201" t="s">
        <v>566</v>
      </c>
      <c r="E380" s="139">
        <f t="shared" si="115"/>
        <v>0.38899999999999996</v>
      </c>
      <c r="F380" s="287"/>
      <c r="G380" s="286">
        <f t="shared" si="116"/>
        <v>0</v>
      </c>
      <c r="H380" s="286">
        <f t="shared" si="116"/>
        <v>0</v>
      </c>
      <c r="I380" s="286">
        <f t="shared" si="117"/>
        <v>0</v>
      </c>
      <c r="J380" s="286">
        <f t="shared" si="118"/>
        <v>0</v>
      </c>
      <c r="K380" s="286">
        <f t="shared" si="119"/>
        <v>0</v>
      </c>
      <c r="L380" s="286">
        <f t="shared" si="119"/>
        <v>0</v>
      </c>
      <c r="M380" s="286">
        <f t="shared" si="119"/>
        <v>0</v>
      </c>
      <c r="N380" s="286">
        <f t="shared" si="119"/>
        <v>0</v>
      </c>
      <c r="O380" s="286">
        <f t="shared" si="119"/>
        <v>0</v>
      </c>
      <c r="P380" s="286">
        <f t="shared" si="119"/>
        <v>0</v>
      </c>
      <c r="Q380" s="286">
        <f t="shared" si="119"/>
        <v>0</v>
      </c>
      <c r="R380" s="286">
        <f t="shared" si="119"/>
        <v>0</v>
      </c>
      <c r="S380" s="286">
        <f t="shared" si="119"/>
        <v>0</v>
      </c>
      <c r="U380" s="56">
        <f t="shared" si="120"/>
        <v>0</v>
      </c>
      <c r="W380" s="184">
        <f t="shared" si="121"/>
        <v>0.38899999999999996</v>
      </c>
      <c r="X380" s="56"/>
      <c r="Y380" s="161"/>
    </row>
    <row r="381" spans="1:25" ht="12.75">
      <c r="A381" s="215" t="s">
        <v>567</v>
      </c>
      <c r="B381" s="199"/>
      <c r="C381" s="201"/>
      <c r="D381" s="201" t="s">
        <v>568</v>
      </c>
      <c r="E381" s="139">
        <f t="shared" si="115"/>
        <v>0.38899999999999996</v>
      </c>
      <c r="F381" s="287"/>
      <c r="G381" s="286">
        <f t="shared" si="116"/>
        <v>0</v>
      </c>
      <c r="H381" s="286">
        <f t="shared" si="116"/>
        <v>0</v>
      </c>
      <c r="I381" s="286">
        <f t="shared" si="117"/>
        <v>0</v>
      </c>
      <c r="J381" s="286">
        <f t="shared" si="118"/>
        <v>0</v>
      </c>
      <c r="K381" s="286">
        <f t="shared" si="119"/>
        <v>0</v>
      </c>
      <c r="L381" s="286">
        <f t="shared" si="119"/>
        <v>0</v>
      </c>
      <c r="M381" s="286">
        <f t="shared" si="119"/>
        <v>0</v>
      </c>
      <c r="N381" s="286">
        <f t="shared" si="119"/>
        <v>0</v>
      </c>
      <c r="O381" s="286">
        <f t="shared" si="119"/>
        <v>0</v>
      </c>
      <c r="P381" s="286">
        <f t="shared" si="119"/>
        <v>0</v>
      </c>
      <c r="Q381" s="286">
        <f t="shared" si="119"/>
        <v>0</v>
      </c>
      <c r="R381" s="286">
        <f t="shared" si="119"/>
        <v>0</v>
      </c>
      <c r="S381" s="286">
        <f t="shared" si="119"/>
        <v>0</v>
      </c>
      <c r="U381" s="56">
        <f t="shared" si="120"/>
        <v>0</v>
      </c>
      <c r="W381" s="184">
        <f t="shared" si="121"/>
        <v>0.38899999999999996</v>
      </c>
      <c r="X381" s="56"/>
      <c r="Y381" s="161"/>
    </row>
    <row r="382" spans="1:25" ht="12.75">
      <c r="A382" s="215" t="s">
        <v>569</v>
      </c>
      <c r="B382" s="199"/>
      <c r="C382" s="201"/>
      <c r="D382" s="201" t="s">
        <v>570</v>
      </c>
      <c r="E382" s="139">
        <f t="shared" si="115"/>
        <v>0.38899999999999996</v>
      </c>
      <c r="F382" s="287"/>
      <c r="G382" s="286">
        <f t="shared" si="116"/>
        <v>0</v>
      </c>
      <c r="H382" s="286">
        <f t="shared" si="116"/>
        <v>0</v>
      </c>
      <c r="I382" s="286">
        <f t="shared" si="117"/>
        <v>0</v>
      </c>
      <c r="J382" s="286">
        <f t="shared" si="118"/>
        <v>0</v>
      </c>
      <c r="K382" s="286">
        <f t="shared" si="119"/>
        <v>0</v>
      </c>
      <c r="L382" s="286">
        <f t="shared" si="119"/>
        <v>0</v>
      </c>
      <c r="M382" s="286">
        <f t="shared" si="119"/>
        <v>0</v>
      </c>
      <c r="N382" s="286">
        <f t="shared" si="119"/>
        <v>0</v>
      </c>
      <c r="O382" s="286">
        <f t="shared" si="119"/>
        <v>0</v>
      </c>
      <c r="P382" s="286">
        <f t="shared" si="119"/>
        <v>0</v>
      </c>
      <c r="Q382" s="286">
        <f t="shared" si="119"/>
        <v>0</v>
      </c>
      <c r="R382" s="286">
        <f t="shared" si="119"/>
        <v>0</v>
      </c>
      <c r="S382" s="286">
        <f t="shared" si="119"/>
        <v>0</v>
      </c>
      <c r="U382" s="56">
        <f t="shared" si="120"/>
        <v>0</v>
      </c>
      <c r="W382" s="184">
        <f t="shared" si="121"/>
        <v>0.38899999999999996</v>
      </c>
      <c r="X382" s="56"/>
      <c r="Y382" s="161"/>
    </row>
    <row r="383" spans="1:25" ht="12.75">
      <c r="A383" s="215" t="s">
        <v>571</v>
      </c>
      <c r="B383" s="199"/>
      <c r="C383" s="201"/>
      <c r="D383" s="201" t="s">
        <v>268</v>
      </c>
      <c r="E383" s="139">
        <f t="shared" si="115"/>
        <v>0.38899999999999996</v>
      </c>
      <c r="F383" s="287"/>
      <c r="G383" s="286">
        <f t="shared" si="116"/>
        <v>0</v>
      </c>
      <c r="H383" s="286">
        <f t="shared" si="116"/>
        <v>0</v>
      </c>
      <c r="I383" s="286">
        <f t="shared" si="117"/>
        <v>0</v>
      </c>
      <c r="J383" s="286">
        <f t="shared" si="118"/>
        <v>0</v>
      </c>
      <c r="K383" s="286">
        <f t="shared" si="119"/>
        <v>0</v>
      </c>
      <c r="L383" s="286">
        <f t="shared" si="119"/>
        <v>0</v>
      </c>
      <c r="M383" s="286">
        <f t="shared" si="119"/>
        <v>0</v>
      </c>
      <c r="N383" s="286">
        <f t="shared" si="119"/>
        <v>0</v>
      </c>
      <c r="O383" s="286">
        <f t="shared" si="119"/>
        <v>0</v>
      </c>
      <c r="P383" s="286">
        <f t="shared" si="119"/>
        <v>0</v>
      </c>
      <c r="Q383" s="286">
        <f t="shared" si="119"/>
        <v>0</v>
      </c>
      <c r="R383" s="286">
        <f t="shared" si="119"/>
        <v>0</v>
      </c>
      <c r="S383" s="286">
        <f t="shared" si="119"/>
        <v>0</v>
      </c>
      <c r="U383" s="56">
        <f t="shared" si="120"/>
        <v>0</v>
      </c>
      <c r="W383" s="184">
        <f t="shared" si="121"/>
        <v>0.38899999999999996</v>
      </c>
      <c r="X383" s="56"/>
      <c r="Y383" s="161"/>
    </row>
    <row r="384" spans="1:25" ht="12.75">
      <c r="A384" s="198" t="s">
        <v>572</v>
      </c>
      <c r="B384" s="199"/>
      <c r="C384" s="18"/>
      <c r="D384" s="18" t="s">
        <v>126</v>
      </c>
      <c r="E384" s="139">
        <f t="shared" si="115"/>
        <v>0.38899999999999996</v>
      </c>
      <c r="F384" s="287"/>
      <c r="G384" s="286">
        <f t="shared" si="116"/>
        <v>0</v>
      </c>
      <c r="H384" s="286">
        <f t="shared" si="116"/>
        <v>0</v>
      </c>
      <c r="I384" s="286">
        <f t="shared" si="117"/>
        <v>0</v>
      </c>
      <c r="J384" s="286">
        <f t="shared" si="118"/>
        <v>0</v>
      </c>
      <c r="K384" s="286">
        <f t="shared" si="119"/>
        <v>0</v>
      </c>
      <c r="L384" s="286">
        <f t="shared" si="119"/>
        <v>0</v>
      </c>
      <c r="M384" s="286">
        <f t="shared" si="119"/>
        <v>0</v>
      </c>
      <c r="N384" s="286">
        <f t="shared" si="119"/>
        <v>0</v>
      </c>
      <c r="O384" s="286">
        <f t="shared" si="119"/>
        <v>0</v>
      </c>
      <c r="P384" s="286">
        <f t="shared" si="119"/>
        <v>0</v>
      </c>
      <c r="Q384" s="286">
        <f t="shared" si="119"/>
        <v>0</v>
      </c>
      <c r="R384" s="286">
        <f t="shared" si="119"/>
        <v>0</v>
      </c>
      <c r="S384" s="286">
        <f t="shared" si="119"/>
        <v>0</v>
      </c>
      <c r="U384" s="56">
        <f t="shared" si="120"/>
        <v>0</v>
      </c>
      <c r="W384" s="184">
        <f t="shared" si="121"/>
        <v>0.38899999999999996</v>
      </c>
      <c r="X384" s="56"/>
      <c r="Y384" s="161"/>
    </row>
    <row r="385" spans="1:25" ht="12.75">
      <c r="A385" s="198" t="s">
        <v>573</v>
      </c>
      <c r="B385" s="199"/>
      <c r="C385" s="18"/>
      <c r="D385" s="18" t="s">
        <v>107</v>
      </c>
      <c r="E385" s="139">
        <f t="shared" si="115"/>
        <v>0.38899999999999996</v>
      </c>
      <c r="F385" s="287"/>
      <c r="G385" s="286">
        <f t="shared" si="116"/>
        <v>0</v>
      </c>
      <c r="H385" s="286">
        <f t="shared" si="116"/>
        <v>0</v>
      </c>
      <c r="I385" s="286">
        <f t="shared" si="117"/>
        <v>0</v>
      </c>
      <c r="J385" s="286">
        <f t="shared" si="118"/>
        <v>0</v>
      </c>
      <c r="K385" s="286">
        <f t="shared" si="119"/>
        <v>0</v>
      </c>
      <c r="L385" s="286">
        <f t="shared" si="119"/>
        <v>0</v>
      </c>
      <c r="M385" s="286">
        <f t="shared" si="119"/>
        <v>0</v>
      </c>
      <c r="N385" s="286">
        <f t="shared" si="119"/>
        <v>0</v>
      </c>
      <c r="O385" s="286">
        <f t="shared" si="119"/>
        <v>0</v>
      </c>
      <c r="P385" s="286">
        <f t="shared" si="119"/>
        <v>0</v>
      </c>
      <c r="Q385" s="286">
        <f t="shared" si="119"/>
        <v>0</v>
      </c>
      <c r="R385" s="286">
        <f t="shared" si="119"/>
        <v>0</v>
      </c>
      <c r="S385" s="286">
        <f t="shared" si="119"/>
        <v>0</v>
      </c>
      <c r="U385" s="56">
        <f t="shared" si="120"/>
        <v>0</v>
      </c>
      <c r="W385" s="184">
        <f t="shared" si="121"/>
        <v>0.38899999999999996</v>
      </c>
      <c r="X385" s="56"/>
      <c r="Y385" s="161"/>
    </row>
    <row r="386" spans="1:25" ht="12.75">
      <c r="A386" s="198" t="s">
        <v>574</v>
      </c>
      <c r="C386" s="216" t="s">
        <v>575</v>
      </c>
      <c r="D386" s="18" t="s">
        <v>358</v>
      </c>
      <c r="E386" s="139">
        <f>$E$333</f>
        <v>3.9E-2</v>
      </c>
      <c r="F386" s="287"/>
      <c r="G386" s="286">
        <f t="shared" si="116"/>
        <v>815431.3762090198</v>
      </c>
      <c r="H386" s="286">
        <f t="shared" si="116"/>
        <v>-128085.711</v>
      </c>
      <c r="I386" s="286">
        <f t="shared" si="117"/>
        <v>-1.4551915228366852E-11</v>
      </c>
      <c r="J386" s="286">
        <f t="shared" si="118"/>
        <v>0</v>
      </c>
      <c r="K386" s="286">
        <f t="shared" si="119"/>
        <v>0</v>
      </c>
      <c r="L386" s="286">
        <f t="shared" si="119"/>
        <v>0</v>
      </c>
      <c r="M386" s="286">
        <f t="shared" si="119"/>
        <v>687345.66520901979</v>
      </c>
      <c r="N386" s="286">
        <f t="shared" si="119"/>
        <v>4478771.636708457</v>
      </c>
      <c r="O386" s="286">
        <f t="shared" si="119"/>
        <v>0</v>
      </c>
      <c r="P386" s="286">
        <f t="shared" si="119"/>
        <v>0</v>
      </c>
      <c r="Q386" s="286">
        <f t="shared" si="119"/>
        <v>0</v>
      </c>
      <c r="R386" s="286">
        <f t="shared" si="119"/>
        <v>0</v>
      </c>
      <c r="S386" s="286">
        <f t="shared" si="119"/>
        <v>5166117.3019174766</v>
      </c>
      <c r="U386" s="56">
        <f t="shared" si="120"/>
        <v>17624247.825872302</v>
      </c>
      <c r="W386" s="184">
        <f>$W$333</f>
        <v>3.9E-2</v>
      </c>
      <c r="X386" s="56"/>
      <c r="Y386" s="161"/>
    </row>
    <row r="387" spans="1:25" ht="12.75">
      <c r="A387" s="191" t="s">
        <v>576</v>
      </c>
      <c r="B387" s="192"/>
      <c r="C387" s="193"/>
      <c r="D387" s="193" t="s">
        <v>577</v>
      </c>
      <c r="E387" s="194"/>
      <c r="F387" s="291" t="s">
        <v>553</v>
      </c>
      <c r="G387" s="292">
        <f>SUM(G388:G396)</f>
        <v>-119328.02564999998</v>
      </c>
      <c r="H387" s="292">
        <f>SUM(H388:H396)</f>
        <v>0</v>
      </c>
      <c r="I387" s="292">
        <f t="shared" ref="I387:S387" si="122">SUM(I388:I396)</f>
        <v>0</v>
      </c>
      <c r="J387" s="292">
        <f>SUM(J388:J396)</f>
        <v>0</v>
      </c>
      <c r="K387" s="292">
        <f t="shared" si="122"/>
        <v>0</v>
      </c>
      <c r="L387" s="292">
        <f t="shared" si="122"/>
        <v>0</v>
      </c>
      <c r="M387" s="292">
        <f>SUM(M388:M396)</f>
        <v>-119328.02564999998</v>
      </c>
      <c r="N387" s="292">
        <f t="shared" si="122"/>
        <v>0</v>
      </c>
      <c r="O387" s="292">
        <f t="shared" si="122"/>
        <v>0</v>
      </c>
      <c r="P387" s="292">
        <f t="shared" si="122"/>
        <v>0</v>
      </c>
      <c r="Q387" s="292">
        <f t="shared" si="122"/>
        <v>0</v>
      </c>
      <c r="R387" s="292">
        <f t="shared" si="122"/>
        <v>0</v>
      </c>
      <c r="S387" s="292">
        <f t="shared" si="122"/>
        <v>-119328.02564999998</v>
      </c>
      <c r="U387" s="56"/>
      <c r="W387" s="197"/>
      <c r="X387" s="56"/>
      <c r="Y387" s="161"/>
    </row>
    <row r="388" spans="1:25" ht="12.75">
      <c r="A388" s="198" t="s">
        <v>554</v>
      </c>
      <c r="B388" s="199"/>
      <c r="C388" s="18"/>
      <c r="D388" s="18" t="s">
        <v>123</v>
      </c>
      <c r="E388" s="139">
        <f t="shared" ref="E388:E398" si="123">$E$314</f>
        <v>0.38899999999999996</v>
      </c>
      <c r="F388" s="287"/>
      <c r="G388" s="286">
        <f t="shared" ref="G388:H398" si="124">SUMIF($E$11:$E$282,$D388,G$11:G$282)*$W388</f>
        <v>27203.995349999994</v>
      </c>
      <c r="H388" s="286">
        <f t="shared" si="124"/>
        <v>0</v>
      </c>
      <c r="I388" s="286">
        <f t="shared" ref="I388:I396" si="125">M388-G388-H388-J388-K388-L388</f>
        <v>0</v>
      </c>
      <c r="J388" s="286">
        <f t="shared" ref="J388:J398" si="126">SUMIF($E$11:$E$282,$D388,J$11:J$282)*$W388</f>
        <v>0</v>
      </c>
      <c r="K388" s="286">
        <f t="shared" ref="K388:S398" si="127">SUMIF($E$11:$E$282,$D388,K$11:K$282)*$E388</f>
        <v>0</v>
      </c>
      <c r="L388" s="286">
        <f t="shared" si="127"/>
        <v>0</v>
      </c>
      <c r="M388" s="286">
        <f t="shared" si="127"/>
        <v>27203.995349999994</v>
      </c>
      <c r="N388" s="286">
        <f t="shared" si="127"/>
        <v>0</v>
      </c>
      <c r="O388" s="286">
        <f t="shared" si="127"/>
        <v>0</v>
      </c>
      <c r="P388" s="286">
        <f t="shared" si="127"/>
        <v>0</v>
      </c>
      <c r="Q388" s="286">
        <f t="shared" si="127"/>
        <v>0</v>
      </c>
      <c r="R388" s="286">
        <f t="shared" si="127"/>
        <v>0</v>
      </c>
      <c r="S388" s="286">
        <f t="shared" si="127"/>
        <v>27203.995349999994</v>
      </c>
      <c r="U388" s="56">
        <f t="shared" ref="U388:U398" si="128">M388/E388</f>
        <v>69933.149999999994</v>
      </c>
      <c r="W388" s="184">
        <f t="shared" ref="W388:W398" si="129">$W$314</f>
        <v>0.38899999999999996</v>
      </c>
      <c r="X388" s="56"/>
      <c r="Y388" s="161"/>
    </row>
    <row r="389" spans="1:25" ht="12.75">
      <c r="A389" s="198" t="s">
        <v>555</v>
      </c>
      <c r="B389" s="199"/>
      <c r="C389" s="18"/>
      <c r="D389" s="18" t="s">
        <v>578</v>
      </c>
      <c r="E389" s="139">
        <f t="shared" si="123"/>
        <v>0.38899999999999996</v>
      </c>
      <c r="F389" s="287"/>
      <c r="G389" s="286">
        <f t="shared" si="124"/>
        <v>0</v>
      </c>
      <c r="H389" s="286">
        <f t="shared" si="124"/>
        <v>0</v>
      </c>
      <c r="I389" s="286">
        <f t="shared" si="125"/>
        <v>0</v>
      </c>
      <c r="J389" s="286">
        <f t="shared" si="126"/>
        <v>0</v>
      </c>
      <c r="K389" s="286">
        <f t="shared" si="127"/>
        <v>0</v>
      </c>
      <c r="L389" s="286">
        <f t="shared" si="127"/>
        <v>0</v>
      </c>
      <c r="M389" s="286">
        <f t="shared" si="127"/>
        <v>0</v>
      </c>
      <c r="N389" s="286">
        <f t="shared" si="127"/>
        <v>0</v>
      </c>
      <c r="O389" s="286">
        <f t="shared" si="127"/>
        <v>0</v>
      </c>
      <c r="P389" s="286">
        <f t="shared" si="127"/>
        <v>0</v>
      </c>
      <c r="Q389" s="286">
        <f t="shared" si="127"/>
        <v>0</v>
      </c>
      <c r="R389" s="286">
        <f t="shared" si="127"/>
        <v>0</v>
      </c>
      <c r="S389" s="286">
        <f t="shared" si="127"/>
        <v>0</v>
      </c>
      <c r="U389" s="56">
        <f t="shared" si="128"/>
        <v>0</v>
      </c>
      <c r="W389" s="184">
        <f t="shared" si="129"/>
        <v>0.38899999999999996</v>
      </c>
      <c r="X389" s="56"/>
      <c r="Y389" s="161"/>
    </row>
    <row r="390" spans="1:25" ht="12.75">
      <c r="A390" s="198" t="s">
        <v>579</v>
      </c>
      <c r="B390" s="199"/>
      <c r="C390" s="18"/>
      <c r="D390" s="18" t="s">
        <v>131</v>
      </c>
      <c r="E390" s="139">
        <f t="shared" si="123"/>
        <v>0.38899999999999996</v>
      </c>
      <c r="F390" s="287"/>
      <c r="G390" s="286">
        <f t="shared" si="124"/>
        <v>-146532.02099999998</v>
      </c>
      <c r="H390" s="286">
        <f t="shared" si="124"/>
        <v>0</v>
      </c>
      <c r="I390" s="286">
        <f t="shared" si="125"/>
        <v>0</v>
      </c>
      <c r="J390" s="286">
        <f t="shared" si="126"/>
        <v>0</v>
      </c>
      <c r="K390" s="286">
        <f t="shared" si="127"/>
        <v>0</v>
      </c>
      <c r="L390" s="286">
        <f t="shared" si="127"/>
        <v>0</v>
      </c>
      <c r="M390" s="286">
        <f t="shared" si="127"/>
        <v>-146532.02099999998</v>
      </c>
      <c r="N390" s="286">
        <f t="shared" si="127"/>
        <v>0</v>
      </c>
      <c r="O390" s="286">
        <f t="shared" si="127"/>
        <v>0</v>
      </c>
      <c r="P390" s="286">
        <f t="shared" si="127"/>
        <v>0</v>
      </c>
      <c r="Q390" s="286">
        <f t="shared" si="127"/>
        <v>0</v>
      </c>
      <c r="R390" s="286">
        <f t="shared" si="127"/>
        <v>0</v>
      </c>
      <c r="S390" s="286">
        <f t="shared" si="127"/>
        <v>-146532.02099999998</v>
      </c>
      <c r="U390" s="56">
        <f t="shared" si="128"/>
        <v>-376689</v>
      </c>
      <c r="W390" s="184">
        <f t="shared" si="129"/>
        <v>0.38899999999999996</v>
      </c>
      <c r="X390" s="56"/>
      <c r="Y390" s="161"/>
    </row>
    <row r="391" spans="1:25" ht="12.75">
      <c r="A391" s="198" t="s">
        <v>580</v>
      </c>
      <c r="B391" s="199"/>
      <c r="C391" s="18"/>
      <c r="D391" s="18" t="s">
        <v>581</v>
      </c>
      <c r="E391" s="139">
        <f t="shared" si="123"/>
        <v>0.38899999999999996</v>
      </c>
      <c r="F391" s="287"/>
      <c r="G391" s="286">
        <f t="shared" si="124"/>
        <v>0</v>
      </c>
      <c r="H391" s="286">
        <f t="shared" si="124"/>
        <v>0</v>
      </c>
      <c r="I391" s="286">
        <f t="shared" si="125"/>
        <v>0</v>
      </c>
      <c r="J391" s="286">
        <f t="shared" si="126"/>
        <v>0</v>
      </c>
      <c r="K391" s="286">
        <f t="shared" si="127"/>
        <v>0</v>
      </c>
      <c r="L391" s="286">
        <f t="shared" si="127"/>
        <v>0</v>
      </c>
      <c r="M391" s="286">
        <f t="shared" si="127"/>
        <v>0</v>
      </c>
      <c r="N391" s="286">
        <f t="shared" si="127"/>
        <v>0</v>
      </c>
      <c r="O391" s="286">
        <f t="shared" si="127"/>
        <v>0</v>
      </c>
      <c r="P391" s="286">
        <f t="shared" si="127"/>
        <v>0</v>
      </c>
      <c r="Q391" s="286">
        <f t="shared" si="127"/>
        <v>0</v>
      </c>
      <c r="R391" s="286">
        <f t="shared" si="127"/>
        <v>0</v>
      </c>
      <c r="S391" s="286">
        <f t="shared" si="127"/>
        <v>0</v>
      </c>
      <c r="U391" s="56">
        <f t="shared" si="128"/>
        <v>0</v>
      </c>
      <c r="W391" s="184">
        <f t="shared" si="129"/>
        <v>0.38899999999999996</v>
      </c>
      <c r="X391" s="56"/>
      <c r="Y391" s="161"/>
    </row>
    <row r="392" spans="1:25" ht="12.75">
      <c r="A392" s="215" t="s">
        <v>582</v>
      </c>
      <c r="B392" s="199"/>
      <c r="C392" s="201"/>
      <c r="D392" s="201" t="s">
        <v>583</v>
      </c>
      <c r="E392" s="139">
        <f t="shared" si="123"/>
        <v>0.38899999999999996</v>
      </c>
      <c r="F392" s="287"/>
      <c r="G392" s="286">
        <f t="shared" si="124"/>
        <v>0</v>
      </c>
      <c r="H392" s="286">
        <f t="shared" si="124"/>
        <v>0</v>
      </c>
      <c r="I392" s="286">
        <f t="shared" si="125"/>
        <v>0</v>
      </c>
      <c r="J392" s="286">
        <f t="shared" si="126"/>
        <v>0</v>
      </c>
      <c r="K392" s="286">
        <f t="shared" si="127"/>
        <v>0</v>
      </c>
      <c r="L392" s="286">
        <f t="shared" si="127"/>
        <v>0</v>
      </c>
      <c r="M392" s="286">
        <f t="shared" si="127"/>
        <v>0</v>
      </c>
      <c r="N392" s="286">
        <f t="shared" si="127"/>
        <v>0</v>
      </c>
      <c r="O392" s="286">
        <f t="shared" si="127"/>
        <v>0</v>
      </c>
      <c r="P392" s="286">
        <f t="shared" si="127"/>
        <v>0</v>
      </c>
      <c r="Q392" s="286">
        <f t="shared" si="127"/>
        <v>0</v>
      </c>
      <c r="R392" s="286">
        <f t="shared" si="127"/>
        <v>0</v>
      </c>
      <c r="S392" s="286">
        <f t="shared" si="127"/>
        <v>0</v>
      </c>
      <c r="U392" s="56">
        <f t="shared" si="128"/>
        <v>0</v>
      </c>
      <c r="W392" s="184">
        <f t="shared" si="129"/>
        <v>0.38899999999999996</v>
      </c>
      <c r="X392" s="56"/>
      <c r="Y392" s="161"/>
    </row>
    <row r="393" spans="1:25" ht="12.75">
      <c r="A393" s="215" t="s">
        <v>584</v>
      </c>
      <c r="B393" s="199"/>
      <c r="C393" s="201"/>
      <c r="D393" s="201" t="s">
        <v>585</v>
      </c>
      <c r="E393" s="139">
        <f t="shared" si="123"/>
        <v>0.38899999999999996</v>
      </c>
      <c r="F393" s="287"/>
      <c r="G393" s="286">
        <f t="shared" si="124"/>
        <v>0</v>
      </c>
      <c r="H393" s="286">
        <f t="shared" si="124"/>
        <v>0</v>
      </c>
      <c r="I393" s="286">
        <f t="shared" si="125"/>
        <v>0</v>
      </c>
      <c r="J393" s="286">
        <f t="shared" si="126"/>
        <v>0</v>
      </c>
      <c r="K393" s="286">
        <f t="shared" si="127"/>
        <v>0</v>
      </c>
      <c r="L393" s="286">
        <f t="shared" si="127"/>
        <v>0</v>
      </c>
      <c r="M393" s="286">
        <f t="shared" si="127"/>
        <v>0</v>
      </c>
      <c r="N393" s="286">
        <f t="shared" si="127"/>
        <v>0</v>
      </c>
      <c r="O393" s="286">
        <f t="shared" si="127"/>
        <v>0</v>
      </c>
      <c r="P393" s="286">
        <f t="shared" si="127"/>
        <v>0</v>
      </c>
      <c r="Q393" s="286">
        <f t="shared" si="127"/>
        <v>0</v>
      </c>
      <c r="R393" s="286">
        <f t="shared" si="127"/>
        <v>0</v>
      </c>
      <c r="S393" s="286">
        <f t="shared" si="127"/>
        <v>0</v>
      </c>
      <c r="U393" s="56">
        <f t="shared" si="128"/>
        <v>0</v>
      </c>
      <c r="W393" s="184">
        <f t="shared" si="129"/>
        <v>0.38899999999999996</v>
      </c>
      <c r="X393" s="56"/>
      <c r="Y393" s="161"/>
    </row>
    <row r="394" spans="1:25" ht="12.75">
      <c r="A394" s="198" t="s">
        <v>586</v>
      </c>
      <c r="B394" s="199"/>
      <c r="C394" s="18"/>
      <c r="D394" s="18" t="s">
        <v>135</v>
      </c>
      <c r="E394" s="139">
        <f t="shared" si="123"/>
        <v>0.38899999999999996</v>
      </c>
      <c r="F394" s="287"/>
      <c r="G394" s="286">
        <f t="shared" si="124"/>
        <v>0</v>
      </c>
      <c r="H394" s="286">
        <f t="shared" si="124"/>
        <v>0</v>
      </c>
      <c r="I394" s="286">
        <f t="shared" si="125"/>
        <v>0</v>
      </c>
      <c r="J394" s="286">
        <f t="shared" si="126"/>
        <v>0</v>
      </c>
      <c r="K394" s="286">
        <f t="shared" si="127"/>
        <v>0</v>
      </c>
      <c r="L394" s="286">
        <f t="shared" si="127"/>
        <v>0</v>
      </c>
      <c r="M394" s="286">
        <f t="shared" si="127"/>
        <v>0</v>
      </c>
      <c r="N394" s="286">
        <f t="shared" si="127"/>
        <v>0</v>
      </c>
      <c r="O394" s="286">
        <f t="shared" si="127"/>
        <v>0</v>
      </c>
      <c r="P394" s="286">
        <f t="shared" si="127"/>
        <v>0</v>
      </c>
      <c r="Q394" s="286">
        <f t="shared" si="127"/>
        <v>0</v>
      </c>
      <c r="R394" s="286">
        <f t="shared" si="127"/>
        <v>0</v>
      </c>
      <c r="S394" s="286">
        <f t="shared" si="127"/>
        <v>0</v>
      </c>
      <c r="U394" s="56">
        <f t="shared" si="128"/>
        <v>0</v>
      </c>
      <c r="W394" s="184">
        <f t="shared" si="129"/>
        <v>0.38899999999999996</v>
      </c>
      <c r="X394" s="56"/>
      <c r="Y394" s="161"/>
    </row>
    <row r="395" spans="1:25" ht="12.75">
      <c r="A395" s="198" t="s">
        <v>587</v>
      </c>
      <c r="B395" s="199"/>
      <c r="C395" s="18"/>
      <c r="D395" s="18" t="s">
        <v>588</v>
      </c>
      <c r="E395" s="139">
        <f t="shared" si="123"/>
        <v>0.38899999999999996</v>
      </c>
      <c r="F395" s="287"/>
      <c r="G395" s="286">
        <f t="shared" si="124"/>
        <v>0</v>
      </c>
      <c r="H395" s="286">
        <f t="shared" si="124"/>
        <v>0</v>
      </c>
      <c r="I395" s="286">
        <f t="shared" si="125"/>
        <v>0</v>
      </c>
      <c r="J395" s="286">
        <f t="shared" si="126"/>
        <v>0</v>
      </c>
      <c r="K395" s="286">
        <f t="shared" si="127"/>
        <v>0</v>
      </c>
      <c r="L395" s="286">
        <f t="shared" si="127"/>
        <v>0</v>
      </c>
      <c r="M395" s="286">
        <f t="shared" si="127"/>
        <v>0</v>
      </c>
      <c r="N395" s="286">
        <f t="shared" si="127"/>
        <v>0</v>
      </c>
      <c r="O395" s="286">
        <f t="shared" si="127"/>
        <v>0</v>
      </c>
      <c r="P395" s="286">
        <f t="shared" si="127"/>
        <v>0</v>
      </c>
      <c r="Q395" s="286">
        <f t="shared" si="127"/>
        <v>0</v>
      </c>
      <c r="R395" s="286">
        <f t="shared" si="127"/>
        <v>0</v>
      </c>
      <c r="S395" s="286">
        <f t="shared" si="127"/>
        <v>0</v>
      </c>
      <c r="U395" s="56">
        <f t="shared" si="128"/>
        <v>0</v>
      </c>
      <c r="W395" s="184">
        <f t="shared" si="129"/>
        <v>0.38899999999999996</v>
      </c>
      <c r="X395" s="56"/>
      <c r="Y395" s="161"/>
    </row>
    <row r="396" spans="1:25" ht="12.75">
      <c r="A396" s="198" t="s">
        <v>589</v>
      </c>
      <c r="B396" s="199"/>
      <c r="C396" s="18"/>
      <c r="D396" s="18" t="s">
        <v>590</v>
      </c>
      <c r="E396" s="139">
        <f t="shared" si="123"/>
        <v>0.38899999999999996</v>
      </c>
      <c r="F396" s="287"/>
      <c r="G396" s="286">
        <f t="shared" si="124"/>
        <v>0</v>
      </c>
      <c r="H396" s="286">
        <f t="shared" si="124"/>
        <v>0</v>
      </c>
      <c r="I396" s="286">
        <f t="shared" si="125"/>
        <v>0</v>
      </c>
      <c r="J396" s="286">
        <f t="shared" si="126"/>
        <v>0</v>
      </c>
      <c r="K396" s="286">
        <f t="shared" si="127"/>
        <v>0</v>
      </c>
      <c r="L396" s="286">
        <f t="shared" si="127"/>
        <v>0</v>
      </c>
      <c r="M396" s="286">
        <f t="shared" si="127"/>
        <v>0</v>
      </c>
      <c r="N396" s="286">
        <f t="shared" si="127"/>
        <v>0</v>
      </c>
      <c r="O396" s="286">
        <f t="shared" si="127"/>
        <v>0</v>
      </c>
      <c r="P396" s="286">
        <f t="shared" si="127"/>
        <v>0</v>
      </c>
      <c r="Q396" s="286">
        <f t="shared" si="127"/>
        <v>0</v>
      </c>
      <c r="R396" s="286">
        <f t="shared" si="127"/>
        <v>0</v>
      </c>
      <c r="S396" s="286">
        <f t="shared" si="127"/>
        <v>0</v>
      </c>
      <c r="U396" s="56">
        <f t="shared" si="128"/>
        <v>0</v>
      </c>
      <c r="W396" s="184">
        <f t="shared" si="129"/>
        <v>0.38899999999999996</v>
      </c>
      <c r="X396" s="56"/>
      <c r="Y396" s="161"/>
    </row>
    <row r="397" spans="1:25" ht="12.75">
      <c r="A397" s="191" t="s">
        <v>591</v>
      </c>
      <c r="B397" s="192"/>
      <c r="C397" s="193"/>
      <c r="D397" s="193" t="s">
        <v>275</v>
      </c>
      <c r="E397" s="194">
        <f t="shared" si="123"/>
        <v>0.38899999999999996</v>
      </c>
      <c r="F397" s="291" t="s">
        <v>553</v>
      </c>
      <c r="G397" s="292">
        <f t="shared" si="124"/>
        <v>0</v>
      </c>
      <c r="H397" s="292">
        <f t="shared" si="124"/>
        <v>0</v>
      </c>
      <c r="I397" s="292">
        <f>M397-G397-H397-J397-K397-L397</f>
        <v>0</v>
      </c>
      <c r="J397" s="292">
        <f t="shared" si="126"/>
        <v>0</v>
      </c>
      <c r="K397" s="292">
        <f t="shared" si="127"/>
        <v>0</v>
      </c>
      <c r="L397" s="292">
        <f t="shared" si="127"/>
        <v>0</v>
      </c>
      <c r="M397" s="292">
        <f t="shared" si="127"/>
        <v>0</v>
      </c>
      <c r="N397" s="292">
        <f t="shared" si="127"/>
        <v>0</v>
      </c>
      <c r="O397" s="292">
        <f t="shared" si="127"/>
        <v>0</v>
      </c>
      <c r="P397" s="292">
        <f t="shared" si="127"/>
        <v>0</v>
      </c>
      <c r="Q397" s="292">
        <f t="shared" si="127"/>
        <v>0</v>
      </c>
      <c r="R397" s="292">
        <f t="shared" si="127"/>
        <v>0</v>
      </c>
      <c r="S397" s="292">
        <f t="shared" si="127"/>
        <v>0</v>
      </c>
      <c r="U397" s="56">
        <f t="shared" si="128"/>
        <v>0</v>
      </c>
      <c r="W397" s="197">
        <f t="shared" si="129"/>
        <v>0.38899999999999996</v>
      </c>
      <c r="X397" s="56"/>
      <c r="Y397" s="161"/>
    </row>
    <row r="398" spans="1:25" ht="12.75">
      <c r="A398" s="191" t="s">
        <v>592</v>
      </c>
      <c r="B398" s="192"/>
      <c r="C398" s="193"/>
      <c r="D398" s="193" t="s">
        <v>257</v>
      </c>
      <c r="E398" s="194">
        <f t="shared" si="123"/>
        <v>0.38899999999999996</v>
      </c>
      <c r="F398" s="291" t="s">
        <v>553</v>
      </c>
      <c r="G398" s="292">
        <f t="shared" si="124"/>
        <v>101719.87062999996</v>
      </c>
      <c r="H398" s="292">
        <f t="shared" si="124"/>
        <v>0</v>
      </c>
      <c r="I398" s="292">
        <f>M398-G398-H398-J398-K398-L398</f>
        <v>0</v>
      </c>
      <c r="J398" s="292">
        <f t="shared" si="126"/>
        <v>0</v>
      </c>
      <c r="K398" s="292">
        <f t="shared" si="127"/>
        <v>0</v>
      </c>
      <c r="L398" s="292">
        <f t="shared" si="127"/>
        <v>0</v>
      </c>
      <c r="M398" s="292">
        <f t="shared" si="127"/>
        <v>101719.87062999996</v>
      </c>
      <c r="N398" s="292">
        <f t="shared" si="127"/>
        <v>0</v>
      </c>
      <c r="O398" s="292">
        <f t="shared" si="127"/>
        <v>99113.625089999987</v>
      </c>
      <c r="P398" s="292">
        <f t="shared" si="127"/>
        <v>0</v>
      </c>
      <c r="Q398" s="292">
        <f t="shared" si="127"/>
        <v>0</v>
      </c>
      <c r="R398" s="292">
        <f t="shared" si="127"/>
        <v>0</v>
      </c>
      <c r="S398" s="292">
        <f t="shared" si="127"/>
        <v>200833.49571999998</v>
      </c>
      <c r="U398" s="56">
        <f t="shared" si="128"/>
        <v>261490.66999999993</v>
      </c>
      <c r="W398" s="197">
        <f t="shared" si="129"/>
        <v>0.38899999999999996</v>
      </c>
      <c r="X398" s="56"/>
      <c r="Y398" s="161"/>
    </row>
    <row r="399" spans="1:25" ht="12.75">
      <c r="A399" s="191" t="s">
        <v>593</v>
      </c>
      <c r="B399" s="192"/>
      <c r="C399" s="193"/>
      <c r="D399" s="193" t="s">
        <v>594</v>
      </c>
      <c r="E399" s="194"/>
      <c r="F399" s="291" t="s">
        <v>553</v>
      </c>
      <c r="G399" s="292">
        <f>SUM(G400:G407)</f>
        <v>-2973242.5329999998</v>
      </c>
      <c r="H399" s="292">
        <f>SUM(H400:H407)</f>
        <v>-498335.84099999996</v>
      </c>
      <c r="I399" s="292">
        <f t="shared" ref="I399:S399" si="130">SUM(I400:I407)</f>
        <v>-1.6871126717887819E-10</v>
      </c>
      <c r="J399" s="292">
        <f>SUM(J400:J407)</f>
        <v>0</v>
      </c>
      <c r="K399" s="292">
        <f t="shared" si="130"/>
        <v>0</v>
      </c>
      <c r="L399" s="292">
        <f t="shared" si="130"/>
        <v>0</v>
      </c>
      <c r="M399" s="292">
        <f>SUM(M400:M407)</f>
        <v>-3471578.3739999994</v>
      </c>
      <c r="N399" s="292">
        <f t="shared" si="130"/>
        <v>-242324.04899999994</v>
      </c>
      <c r="O399" s="292">
        <f t="shared" si="130"/>
        <v>0</v>
      </c>
      <c r="P399" s="292">
        <f t="shared" si="130"/>
        <v>0</v>
      </c>
      <c r="Q399" s="292">
        <f t="shared" si="130"/>
        <v>0</v>
      </c>
      <c r="R399" s="292">
        <f t="shared" si="130"/>
        <v>0</v>
      </c>
      <c r="S399" s="292">
        <f t="shared" si="130"/>
        <v>-3713902.423</v>
      </c>
      <c r="U399" s="56"/>
      <c r="W399" s="197"/>
      <c r="X399" s="56"/>
      <c r="Y399" s="161"/>
    </row>
    <row r="400" spans="1:25" ht="12.75">
      <c r="A400" s="198" t="s">
        <v>595</v>
      </c>
      <c r="B400" s="199"/>
      <c r="C400" s="18"/>
      <c r="D400" s="18" t="s">
        <v>137</v>
      </c>
      <c r="E400" s="139">
        <f t="shared" ref="E400:E412" si="131">$E$314</f>
        <v>0.38899999999999996</v>
      </c>
      <c r="F400" s="287"/>
      <c r="G400" s="286">
        <f t="shared" ref="G400:H412" si="132">SUMIF($E$11:$E$282,$D400,G$11:G$282)*$W400</f>
        <v>-1733001.6129999999</v>
      </c>
      <c r="H400" s="286">
        <f t="shared" si="132"/>
        <v>0</v>
      </c>
      <c r="I400" s="286">
        <f t="shared" ref="I400:I412" si="133">M400-G400-H400-J400-K400-L400</f>
        <v>0</v>
      </c>
      <c r="J400" s="286">
        <f t="shared" ref="J400:J412" si="134">SUMIF($E$11:$E$282,$D400,J$11:J$282)*$W400</f>
        <v>0</v>
      </c>
      <c r="K400" s="286">
        <f t="shared" ref="K400:S412" si="135">SUMIF($E$11:$E$282,$D400,K$11:K$282)*$E400</f>
        <v>0</v>
      </c>
      <c r="L400" s="286">
        <f t="shared" si="135"/>
        <v>0</v>
      </c>
      <c r="M400" s="286">
        <f t="shared" si="135"/>
        <v>-1733001.6129999999</v>
      </c>
      <c r="N400" s="286">
        <f t="shared" si="135"/>
        <v>-273540.52099999995</v>
      </c>
      <c r="O400" s="286">
        <f t="shared" si="135"/>
        <v>0</v>
      </c>
      <c r="P400" s="286">
        <f t="shared" si="135"/>
        <v>0</v>
      </c>
      <c r="Q400" s="286">
        <f t="shared" si="135"/>
        <v>0</v>
      </c>
      <c r="R400" s="286">
        <f t="shared" si="135"/>
        <v>0</v>
      </c>
      <c r="S400" s="286">
        <f t="shared" si="135"/>
        <v>-2006542.1339999998</v>
      </c>
      <c r="U400" s="56">
        <f t="shared" ref="U400:U412" si="136">M400/E400</f>
        <v>-4455017</v>
      </c>
      <c r="W400" s="184">
        <f t="shared" ref="W400:W412" si="137">$W$314</f>
        <v>0.38899999999999996</v>
      </c>
      <c r="X400" s="56"/>
      <c r="Y400" s="161"/>
    </row>
    <row r="401" spans="1:25" ht="12.75">
      <c r="A401" s="200" t="s">
        <v>596</v>
      </c>
      <c r="B401" s="199"/>
      <c r="C401" s="201"/>
      <c r="D401" s="201" t="s">
        <v>597</v>
      </c>
      <c r="E401" s="139">
        <f t="shared" si="131"/>
        <v>0.38899999999999996</v>
      </c>
      <c r="F401" s="287"/>
      <c r="G401" s="286">
        <f t="shared" si="132"/>
        <v>0</v>
      </c>
      <c r="H401" s="286">
        <f t="shared" si="132"/>
        <v>0</v>
      </c>
      <c r="I401" s="286">
        <f t="shared" si="133"/>
        <v>0</v>
      </c>
      <c r="J401" s="286">
        <f t="shared" si="134"/>
        <v>0</v>
      </c>
      <c r="K401" s="286">
        <f t="shared" si="135"/>
        <v>0</v>
      </c>
      <c r="L401" s="286">
        <f t="shared" si="135"/>
        <v>0</v>
      </c>
      <c r="M401" s="286">
        <f t="shared" si="135"/>
        <v>0</v>
      </c>
      <c r="N401" s="286">
        <f t="shared" si="135"/>
        <v>0</v>
      </c>
      <c r="O401" s="286">
        <f t="shared" si="135"/>
        <v>0</v>
      </c>
      <c r="P401" s="286">
        <f t="shared" si="135"/>
        <v>0</v>
      </c>
      <c r="Q401" s="286">
        <f t="shared" si="135"/>
        <v>0</v>
      </c>
      <c r="R401" s="286">
        <f t="shared" si="135"/>
        <v>0</v>
      </c>
      <c r="S401" s="286">
        <f t="shared" si="135"/>
        <v>0</v>
      </c>
      <c r="U401" s="56">
        <f t="shared" si="136"/>
        <v>0</v>
      </c>
      <c r="W401" s="184">
        <f t="shared" si="137"/>
        <v>0.38899999999999996</v>
      </c>
      <c r="X401" s="56"/>
      <c r="Y401" s="161"/>
    </row>
    <row r="402" spans="1:25" ht="12.75">
      <c r="A402" s="198" t="s">
        <v>598</v>
      </c>
      <c r="B402" s="199"/>
      <c r="C402" s="18"/>
      <c r="D402" s="18" t="s">
        <v>599</v>
      </c>
      <c r="E402" s="139">
        <f t="shared" si="131"/>
        <v>0.38899999999999996</v>
      </c>
      <c r="F402" s="287"/>
      <c r="G402" s="286">
        <f t="shared" si="132"/>
        <v>0</v>
      </c>
      <c r="H402" s="286">
        <f t="shared" si="132"/>
        <v>0</v>
      </c>
      <c r="I402" s="286">
        <f t="shared" si="133"/>
        <v>0</v>
      </c>
      <c r="J402" s="286">
        <f t="shared" si="134"/>
        <v>0</v>
      </c>
      <c r="K402" s="286">
        <f t="shared" si="135"/>
        <v>0</v>
      </c>
      <c r="L402" s="286">
        <f t="shared" si="135"/>
        <v>0</v>
      </c>
      <c r="M402" s="286">
        <f t="shared" si="135"/>
        <v>0</v>
      </c>
      <c r="N402" s="286">
        <f t="shared" si="135"/>
        <v>0</v>
      </c>
      <c r="O402" s="286">
        <f t="shared" si="135"/>
        <v>0</v>
      </c>
      <c r="P402" s="286">
        <f t="shared" si="135"/>
        <v>0</v>
      </c>
      <c r="Q402" s="286">
        <f t="shared" si="135"/>
        <v>0</v>
      </c>
      <c r="R402" s="286">
        <f t="shared" si="135"/>
        <v>0</v>
      </c>
      <c r="S402" s="286">
        <f t="shared" si="135"/>
        <v>0</v>
      </c>
      <c r="U402" s="56">
        <f t="shared" si="136"/>
        <v>0</v>
      </c>
      <c r="W402" s="184">
        <f t="shared" si="137"/>
        <v>0.38899999999999996</v>
      </c>
      <c r="X402" s="56"/>
      <c r="Y402" s="161"/>
    </row>
    <row r="403" spans="1:25" ht="12.75">
      <c r="A403" s="198" t="s">
        <v>600</v>
      </c>
      <c r="B403" s="199"/>
      <c r="C403" s="18"/>
      <c r="D403" s="18" t="s">
        <v>69</v>
      </c>
      <c r="E403" s="139">
        <f t="shared" si="131"/>
        <v>0.38899999999999996</v>
      </c>
      <c r="F403" s="287"/>
      <c r="G403" s="286">
        <f t="shared" si="132"/>
        <v>0</v>
      </c>
      <c r="H403" s="286">
        <f t="shared" si="132"/>
        <v>0</v>
      </c>
      <c r="I403" s="286">
        <f t="shared" si="133"/>
        <v>0</v>
      </c>
      <c r="J403" s="286">
        <f t="shared" si="134"/>
        <v>0</v>
      </c>
      <c r="K403" s="286">
        <f t="shared" si="135"/>
        <v>0</v>
      </c>
      <c r="L403" s="286">
        <f t="shared" si="135"/>
        <v>0</v>
      </c>
      <c r="M403" s="286">
        <f t="shared" si="135"/>
        <v>0</v>
      </c>
      <c r="N403" s="286">
        <f t="shared" si="135"/>
        <v>0</v>
      </c>
      <c r="O403" s="286">
        <f t="shared" si="135"/>
        <v>0</v>
      </c>
      <c r="P403" s="286">
        <f t="shared" si="135"/>
        <v>0</v>
      </c>
      <c r="Q403" s="286">
        <f t="shared" si="135"/>
        <v>0</v>
      </c>
      <c r="R403" s="286">
        <f t="shared" si="135"/>
        <v>0</v>
      </c>
      <c r="S403" s="286">
        <f t="shared" si="135"/>
        <v>0</v>
      </c>
      <c r="U403" s="56">
        <f t="shared" si="136"/>
        <v>0</v>
      </c>
      <c r="W403" s="184">
        <f t="shared" si="137"/>
        <v>0.38899999999999996</v>
      </c>
      <c r="X403" s="56"/>
      <c r="Y403" s="161"/>
    </row>
    <row r="404" spans="1:25" ht="12.75">
      <c r="A404" s="198" t="s">
        <v>601</v>
      </c>
      <c r="B404" s="199"/>
      <c r="C404" s="18"/>
      <c r="D404" s="18" t="s">
        <v>602</v>
      </c>
      <c r="E404" s="139">
        <f t="shared" si="131"/>
        <v>0.38899999999999996</v>
      </c>
      <c r="F404" s="287"/>
      <c r="G404" s="286">
        <f t="shared" si="132"/>
        <v>0</v>
      </c>
      <c r="H404" s="286">
        <f t="shared" si="132"/>
        <v>0</v>
      </c>
      <c r="I404" s="286">
        <f t="shared" si="133"/>
        <v>0</v>
      </c>
      <c r="J404" s="286">
        <f t="shared" si="134"/>
        <v>0</v>
      </c>
      <c r="K404" s="286">
        <f t="shared" si="135"/>
        <v>0</v>
      </c>
      <c r="L404" s="286">
        <f t="shared" si="135"/>
        <v>0</v>
      </c>
      <c r="M404" s="286">
        <f t="shared" si="135"/>
        <v>0</v>
      </c>
      <c r="N404" s="286">
        <f t="shared" si="135"/>
        <v>0</v>
      </c>
      <c r="O404" s="286">
        <f t="shared" si="135"/>
        <v>0</v>
      </c>
      <c r="P404" s="286">
        <f t="shared" si="135"/>
        <v>0</v>
      </c>
      <c r="Q404" s="286">
        <f t="shared" si="135"/>
        <v>0</v>
      </c>
      <c r="R404" s="286">
        <f t="shared" si="135"/>
        <v>0</v>
      </c>
      <c r="S404" s="286">
        <f t="shared" si="135"/>
        <v>0</v>
      </c>
      <c r="U404" s="56">
        <f t="shared" si="136"/>
        <v>0</v>
      </c>
      <c r="W404" s="184">
        <f t="shared" si="137"/>
        <v>0.38899999999999996</v>
      </c>
      <c r="X404" s="56"/>
      <c r="Y404" s="161"/>
    </row>
    <row r="405" spans="1:25" ht="12.75">
      <c r="A405" s="198" t="s">
        <v>603</v>
      </c>
      <c r="B405" s="199"/>
      <c r="C405" s="18"/>
      <c r="D405" s="18" t="s">
        <v>604</v>
      </c>
      <c r="E405" s="139">
        <f t="shared" si="131"/>
        <v>0.38899999999999996</v>
      </c>
      <c r="F405" s="287"/>
      <c r="G405" s="286">
        <f t="shared" si="132"/>
        <v>0</v>
      </c>
      <c r="H405" s="286">
        <f t="shared" si="132"/>
        <v>0</v>
      </c>
      <c r="I405" s="286">
        <f t="shared" si="133"/>
        <v>0</v>
      </c>
      <c r="J405" s="286">
        <f t="shared" si="134"/>
        <v>0</v>
      </c>
      <c r="K405" s="286">
        <f t="shared" si="135"/>
        <v>0</v>
      </c>
      <c r="L405" s="286">
        <f t="shared" si="135"/>
        <v>0</v>
      </c>
      <c r="M405" s="286">
        <f t="shared" si="135"/>
        <v>0</v>
      </c>
      <c r="N405" s="286">
        <f t="shared" si="135"/>
        <v>0</v>
      </c>
      <c r="O405" s="286">
        <f t="shared" si="135"/>
        <v>0</v>
      </c>
      <c r="P405" s="286">
        <f t="shared" si="135"/>
        <v>0</v>
      </c>
      <c r="Q405" s="286">
        <f t="shared" si="135"/>
        <v>0</v>
      </c>
      <c r="R405" s="286">
        <f t="shared" si="135"/>
        <v>0</v>
      </c>
      <c r="S405" s="286">
        <f t="shared" si="135"/>
        <v>0</v>
      </c>
      <c r="U405" s="56">
        <f t="shared" si="136"/>
        <v>0</v>
      </c>
      <c r="W405" s="184">
        <f t="shared" si="137"/>
        <v>0.38899999999999996</v>
      </c>
      <c r="X405" s="56"/>
      <c r="Y405" s="161"/>
    </row>
    <row r="406" spans="1:25" ht="12.75">
      <c r="A406" s="198" t="s">
        <v>605</v>
      </c>
      <c r="B406" s="199"/>
      <c r="C406" s="18"/>
      <c r="D406" s="18" t="s">
        <v>153</v>
      </c>
      <c r="E406" s="139">
        <f t="shared" si="131"/>
        <v>0.38899999999999996</v>
      </c>
      <c r="F406" s="287"/>
      <c r="G406" s="286">
        <f t="shared" si="132"/>
        <v>-1461948.3579999998</v>
      </c>
      <c r="H406" s="286">
        <f t="shared" si="132"/>
        <v>-501019.94099999993</v>
      </c>
      <c r="I406" s="286">
        <f t="shared" si="133"/>
        <v>-1.7462298274040222E-10</v>
      </c>
      <c r="J406" s="286">
        <f t="shared" si="134"/>
        <v>0</v>
      </c>
      <c r="K406" s="286">
        <f t="shared" si="135"/>
        <v>0</v>
      </c>
      <c r="L406" s="286">
        <f t="shared" si="135"/>
        <v>0</v>
      </c>
      <c r="M406" s="286">
        <f t="shared" si="135"/>
        <v>-1962968.2989999999</v>
      </c>
      <c r="N406" s="286">
        <f t="shared" si="135"/>
        <v>0</v>
      </c>
      <c r="O406" s="286">
        <f t="shared" si="135"/>
        <v>0</v>
      </c>
      <c r="P406" s="286">
        <f t="shared" si="135"/>
        <v>0</v>
      </c>
      <c r="Q406" s="286">
        <f t="shared" si="135"/>
        <v>0</v>
      </c>
      <c r="R406" s="286">
        <f t="shared" si="135"/>
        <v>0</v>
      </c>
      <c r="S406" s="286">
        <f t="shared" si="135"/>
        <v>-1962968.2989999999</v>
      </c>
      <c r="U406" s="56">
        <f t="shared" si="136"/>
        <v>-5046191</v>
      </c>
      <c r="W406" s="184">
        <f t="shared" si="137"/>
        <v>0.38899999999999996</v>
      </c>
      <c r="X406" s="56"/>
      <c r="Y406" s="161"/>
    </row>
    <row r="407" spans="1:25" ht="12.75">
      <c r="A407" s="198" t="s">
        <v>606</v>
      </c>
      <c r="B407" s="199"/>
      <c r="C407" s="18"/>
      <c r="D407" s="18" t="s">
        <v>155</v>
      </c>
      <c r="E407" s="139">
        <f t="shared" si="131"/>
        <v>0.38899999999999996</v>
      </c>
      <c r="F407" s="287"/>
      <c r="G407" s="286">
        <f t="shared" si="132"/>
        <v>221707.43799999997</v>
      </c>
      <c r="H407" s="286">
        <f t="shared" si="132"/>
        <v>2684.1</v>
      </c>
      <c r="I407" s="286">
        <f t="shared" si="133"/>
        <v>5.9117155615240335E-12</v>
      </c>
      <c r="J407" s="286">
        <f t="shared" si="134"/>
        <v>0</v>
      </c>
      <c r="K407" s="286">
        <f t="shared" si="135"/>
        <v>0</v>
      </c>
      <c r="L407" s="286">
        <f t="shared" si="135"/>
        <v>0</v>
      </c>
      <c r="M407" s="286">
        <f t="shared" si="135"/>
        <v>224391.53799999997</v>
      </c>
      <c r="N407" s="286">
        <f t="shared" si="135"/>
        <v>31216.471999999998</v>
      </c>
      <c r="O407" s="286">
        <f t="shared" si="135"/>
        <v>0</v>
      </c>
      <c r="P407" s="286">
        <f t="shared" si="135"/>
        <v>0</v>
      </c>
      <c r="Q407" s="286">
        <f t="shared" si="135"/>
        <v>0</v>
      </c>
      <c r="R407" s="286">
        <f t="shared" si="135"/>
        <v>0</v>
      </c>
      <c r="S407" s="286">
        <f t="shared" si="135"/>
        <v>255608.00999999998</v>
      </c>
      <c r="U407" s="56">
        <f t="shared" si="136"/>
        <v>576842</v>
      </c>
      <c r="W407" s="184">
        <f t="shared" si="137"/>
        <v>0.38899999999999996</v>
      </c>
      <c r="X407" s="56"/>
      <c r="Y407" s="161"/>
    </row>
    <row r="408" spans="1:25" ht="12.75">
      <c r="A408" s="191" t="s">
        <v>607</v>
      </c>
      <c r="B408" s="192"/>
      <c r="C408" s="193"/>
      <c r="D408" s="193" t="s">
        <v>186</v>
      </c>
      <c r="E408" s="194">
        <f t="shared" si="131"/>
        <v>0.38899999999999996</v>
      </c>
      <c r="F408" s="291" t="s">
        <v>553</v>
      </c>
      <c r="G408" s="292">
        <f t="shared" si="132"/>
        <v>-3.8900000036228441E-2</v>
      </c>
      <c r="H408" s="292">
        <f t="shared" si="132"/>
        <v>0</v>
      </c>
      <c r="I408" s="292">
        <f t="shared" si="133"/>
        <v>0</v>
      </c>
      <c r="J408" s="292">
        <f t="shared" si="134"/>
        <v>0</v>
      </c>
      <c r="K408" s="292">
        <f t="shared" si="135"/>
        <v>0</v>
      </c>
      <c r="L408" s="292">
        <f t="shared" si="135"/>
        <v>0</v>
      </c>
      <c r="M408" s="292">
        <f t="shared" si="135"/>
        <v>-3.8900000036228441E-2</v>
      </c>
      <c r="N408" s="292">
        <f t="shared" si="135"/>
        <v>0</v>
      </c>
      <c r="O408" s="292">
        <f t="shared" si="135"/>
        <v>0</v>
      </c>
      <c r="P408" s="292">
        <f t="shared" si="135"/>
        <v>0</v>
      </c>
      <c r="Q408" s="292">
        <f t="shared" si="135"/>
        <v>0</v>
      </c>
      <c r="R408" s="292">
        <f t="shared" si="135"/>
        <v>0</v>
      </c>
      <c r="S408" s="292">
        <f t="shared" si="135"/>
        <v>-3.8900000036228441E-2</v>
      </c>
      <c r="U408" s="56">
        <f t="shared" si="136"/>
        <v>-0.10000000009313224</v>
      </c>
      <c r="W408" s="197">
        <f t="shared" si="137"/>
        <v>0.38899999999999996</v>
      </c>
      <c r="X408" s="56"/>
      <c r="Y408" s="161"/>
    </row>
    <row r="409" spans="1:25" ht="12.75">
      <c r="A409" s="191" t="s">
        <v>608</v>
      </c>
      <c r="B409" s="192"/>
      <c r="C409" s="193"/>
      <c r="D409" s="193" t="s">
        <v>148</v>
      </c>
      <c r="E409" s="194">
        <f t="shared" si="131"/>
        <v>0.38899999999999996</v>
      </c>
      <c r="F409" s="291" t="s">
        <v>553</v>
      </c>
      <c r="G409" s="292">
        <f t="shared" si="132"/>
        <v>253055.94448838296</v>
      </c>
      <c r="H409" s="292">
        <f t="shared" si="132"/>
        <v>0</v>
      </c>
      <c r="I409" s="292">
        <f t="shared" si="133"/>
        <v>0</v>
      </c>
      <c r="J409" s="292">
        <f t="shared" si="134"/>
        <v>0</v>
      </c>
      <c r="K409" s="292">
        <f t="shared" si="135"/>
        <v>0</v>
      </c>
      <c r="L409" s="292">
        <f t="shared" si="135"/>
        <v>0</v>
      </c>
      <c r="M409" s="292">
        <f t="shared" si="135"/>
        <v>253055.94448838296</v>
      </c>
      <c r="N409" s="292">
        <f t="shared" si="135"/>
        <v>0</v>
      </c>
      <c r="O409" s="292">
        <f t="shared" si="135"/>
        <v>0</v>
      </c>
      <c r="P409" s="292">
        <f t="shared" si="135"/>
        <v>0</v>
      </c>
      <c r="Q409" s="292">
        <f t="shared" si="135"/>
        <v>0</v>
      </c>
      <c r="R409" s="292">
        <f t="shared" si="135"/>
        <v>0</v>
      </c>
      <c r="S409" s="292">
        <f t="shared" si="135"/>
        <v>253055.94448838296</v>
      </c>
      <c r="U409" s="56">
        <f t="shared" si="136"/>
        <v>650529.42027861951</v>
      </c>
      <c r="W409" s="197">
        <f t="shared" si="137"/>
        <v>0.38899999999999996</v>
      </c>
      <c r="X409" s="56"/>
      <c r="Y409" s="161"/>
    </row>
    <row r="410" spans="1:25" ht="12.75">
      <c r="A410" s="191" t="s">
        <v>609</v>
      </c>
      <c r="B410" s="192"/>
      <c r="C410" s="193"/>
      <c r="D410" s="193" t="s">
        <v>169</v>
      </c>
      <c r="E410" s="194">
        <f t="shared" si="131"/>
        <v>0.38899999999999996</v>
      </c>
      <c r="F410" s="291" t="s">
        <v>553</v>
      </c>
      <c r="G410" s="292">
        <f t="shared" si="132"/>
        <v>0</v>
      </c>
      <c r="H410" s="292">
        <f t="shared" si="132"/>
        <v>0</v>
      </c>
      <c r="I410" s="292">
        <f t="shared" si="133"/>
        <v>0</v>
      </c>
      <c r="J410" s="292">
        <f t="shared" si="134"/>
        <v>0</v>
      </c>
      <c r="K410" s="292">
        <f t="shared" si="135"/>
        <v>0</v>
      </c>
      <c r="L410" s="292">
        <f t="shared" si="135"/>
        <v>0</v>
      </c>
      <c r="M410" s="292">
        <f t="shared" si="135"/>
        <v>0</v>
      </c>
      <c r="N410" s="292">
        <f t="shared" si="135"/>
        <v>0</v>
      </c>
      <c r="O410" s="292">
        <f t="shared" si="135"/>
        <v>0</v>
      </c>
      <c r="P410" s="292">
        <f t="shared" si="135"/>
        <v>0</v>
      </c>
      <c r="Q410" s="292">
        <f t="shared" si="135"/>
        <v>0</v>
      </c>
      <c r="R410" s="292">
        <f t="shared" si="135"/>
        <v>0</v>
      </c>
      <c r="S410" s="292">
        <f t="shared" si="135"/>
        <v>0</v>
      </c>
      <c r="U410" s="56">
        <f t="shared" si="136"/>
        <v>0</v>
      </c>
      <c r="W410" s="197">
        <f t="shared" si="137"/>
        <v>0.38899999999999996</v>
      </c>
      <c r="X410" s="56"/>
      <c r="Y410" s="161"/>
    </row>
    <row r="411" spans="1:25" ht="12.75">
      <c r="A411" s="204" t="s">
        <v>610</v>
      </c>
      <c r="B411" s="192"/>
      <c r="C411" s="193"/>
      <c r="D411" s="193" t="s">
        <v>611</v>
      </c>
      <c r="E411" s="194">
        <f t="shared" si="131"/>
        <v>0.38899999999999996</v>
      </c>
      <c r="F411" s="291" t="s">
        <v>553</v>
      </c>
      <c r="G411" s="292">
        <f t="shared" si="132"/>
        <v>0</v>
      </c>
      <c r="H411" s="292">
        <f t="shared" si="132"/>
        <v>0</v>
      </c>
      <c r="I411" s="292">
        <f t="shared" si="133"/>
        <v>0</v>
      </c>
      <c r="J411" s="292">
        <f t="shared" si="134"/>
        <v>0</v>
      </c>
      <c r="K411" s="292">
        <f t="shared" si="135"/>
        <v>0</v>
      </c>
      <c r="L411" s="292">
        <f t="shared" si="135"/>
        <v>0</v>
      </c>
      <c r="M411" s="292">
        <f t="shared" si="135"/>
        <v>0</v>
      </c>
      <c r="N411" s="292">
        <f t="shared" si="135"/>
        <v>0</v>
      </c>
      <c r="O411" s="292">
        <f t="shared" si="135"/>
        <v>0</v>
      </c>
      <c r="P411" s="292">
        <f t="shared" si="135"/>
        <v>0</v>
      </c>
      <c r="Q411" s="292">
        <f t="shared" si="135"/>
        <v>0</v>
      </c>
      <c r="R411" s="292">
        <f t="shared" si="135"/>
        <v>0</v>
      </c>
      <c r="S411" s="292">
        <f t="shared" si="135"/>
        <v>0</v>
      </c>
      <c r="U411" s="56">
        <f t="shared" si="136"/>
        <v>0</v>
      </c>
      <c r="W411" s="197">
        <f t="shared" si="137"/>
        <v>0.38899999999999996</v>
      </c>
      <c r="X411" s="56"/>
      <c r="Y411" s="161"/>
    </row>
    <row r="412" spans="1:25" s="224" customFormat="1" ht="12.75">
      <c r="A412" s="217" t="s">
        <v>612</v>
      </c>
      <c r="B412" s="218"/>
      <c r="C412" s="219"/>
      <c r="D412" s="219" t="s">
        <v>95</v>
      </c>
      <c r="E412" s="220">
        <f t="shared" si="131"/>
        <v>0.38899999999999996</v>
      </c>
      <c r="F412" s="296" t="s">
        <v>553</v>
      </c>
      <c r="G412" s="297">
        <f t="shared" si="132"/>
        <v>417575.93212826119</v>
      </c>
      <c r="H412" s="297">
        <f t="shared" si="132"/>
        <v>0</v>
      </c>
      <c r="I412" s="297">
        <f t="shared" si="133"/>
        <v>0</v>
      </c>
      <c r="J412" s="298">
        <f t="shared" si="134"/>
        <v>-74928</v>
      </c>
      <c r="K412" s="297">
        <f t="shared" si="135"/>
        <v>0</v>
      </c>
      <c r="L412" s="297">
        <f t="shared" si="135"/>
        <v>0</v>
      </c>
      <c r="M412" s="297">
        <f t="shared" si="135"/>
        <v>342647.93212826119</v>
      </c>
      <c r="N412" s="297">
        <f t="shared" si="135"/>
        <v>0</v>
      </c>
      <c r="O412" s="297">
        <f t="shared" si="135"/>
        <v>0</v>
      </c>
      <c r="P412" s="297">
        <f t="shared" si="135"/>
        <v>0</v>
      </c>
      <c r="Q412" s="297">
        <f t="shared" si="135"/>
        <v>0</v>
      </c>
      <c r="R412" s="297">
        <f t="shared" si="135"/>
        <v>0</v>
      </c>
      <c r="S412" s="297">
        <f t="shared" si="135"/>
        <v>342647.93212826119</v>
      </c>
      <c r="U412" s="225">
        <f t="shared" si="136"/>
        <v>880843.01318319084</v>
      </c>
      <c r="W412" s="226">
        <f t="shared" si="137"/>
        <v>0.38899999999999996</v>
      </c>
      <c r="X412" s="225"/>
      <c r="Y412" s="227"/>
    </row>
    <row r="413" spans="1:25" ht="12.75">
      <c r="A413" s="206" t="s">
        <v>613</v>
      </c>
      <c r="B413" s="207"/>
      <c r="C413" s="208"/>
      <c r="D413" s="294"/>
      <c r="E413" s="209"/>
      <c r="F413" s="293" t="s">
        <v>553</v>
      </c>
      <c r="G413" s="294">
        <f>SUMIF($F$370:$F$412,$F413,G$370:G$412)</f>
        <v>-72703209.148119897</v>
      </c>
      <c r="H413" s="294">
        <f t="shared" ref="H413:S413" si="138">SUMIF($F$370:$F$412,$F413,H$370:H$412)</f>
        <v>1549884.0423300688</v>
      </c>
      <c r="I413" s="294">
        <f t="shared" si="138"/>
        <v>6.685240805381909E-9</v>
      </c>
      <c r="J413" s="294">
        <f t="shared" si="138"/>
        <v>102573.86699999997</v>
      </c>
      <c r="K413" s="294">
        <f t="shared" si="138"/>
        <v>0</v>
      </c>
      <c r="L413" s="294">
        <f t="shared" si="138"/>
        <v>0</v>
      </c>
      <c r="M413" s="294">
        <f t="shared" si="138"/>
        <v>-71050751.238789797</v>
      </c>
      <c r="N413" s="294">
        <f t="shared" si="138"/>
        <v>-43464111.230408914</v>
      </c>
      <c r="O413" s="294">
        <f t="shared" si="138"/>
        <v>99113.625089999987</v>
      </c>
      <c r="P413" s="294">
        <f t="shared" si="138"/>
        <v>0</v>
      </c>
      <c r="Q413" s="294">
        <f t="shared" si="138"/>
        <v>0</v>
      </c>
      <c r="R413" s="294">
        <f t="shared" si="138"/>
        <v>0</v>
      </c>
      <c r="S413" s="294">
        <f t="shared" si="138"/>
        <v>-114415748.8441087</v>
      </c>
      <c r="U413" s="56"/>
      <c r="W413" s="212"/>
      <c r="X413" s="56"/>
      <c r="Y413" s="161"/>
    </row>
    <row r="414" spans="1:25" thickBot="1">
      <c r="A414" s="167"/>
      <c r="B414" s="228"/>
      <c r="C414" s="168"/>
      <c r="D414" s="299"/>
      <c r="E414" s="230"/>
      <c r="F414" s="299"/>
      <c r="G414" s="299"/>
      <c r="H414" s="299"/>
      <c r="I414" s="299"/>
      <c r="J414" s="299"/>
      <c r="K414" s="299"/>
      <c r="L414" s="299"/>
      <c r="M414" s="299"/>
      <c r="N414" s="299"/>
      <c r="O414" s="299"/>
      <c r="P414" s="299"/>
      <c r="Q414" s="299"/>
      <c r="R414" s="299"/>
      <c r="S414" s="299"/>
      <c r="U414" s="56"/>
      <c r="W414" s="231"/>
      <c r="X414" s="56"/>
      <c r="Y414" s="161"/>
    </row>
    <row r="415" spans="1:25" thickBot="1">
      <c r="A415" s="232" t="s">
        <v>614</v>
      </c>
      <c r="B415" s="233"/>
      <c r="C415" s="234"/>
      <c r="D415" s="300"/>
      <c r="E415" s="236"/>
      <c r="F415" s="300"/>
      <c r="G415" s="300">
        <f>G368+G413</f>
        <v>-47516812.631637201</v>
      </c>
      <c r="H415" s="300">
        <f t="shared" ref="H415:S415" si="139">H368+H413</f>
        <v>1625329.9914300689</v>
      </c>
      <c r="I415" s="300">
        <f t="shared" si="139"/>
        <v>7.3113041731964756E-9</v>
      </c>
      <c r="J415" s="300">
        <f>J368+J413</f>
        <v>1036426.3279999997</v>
      </c>
      <c r="K415" s="300">
        <f t="shared" si="139"/>
        <v>0</v>
      </c>
      <c r="L415" s="300">
        <f t="shared" si="139"/>
        <v>0</v>
      </c>
      <c r="M415" s="300">
        <f>M368+M413</f>
        <v>-44855056.312207103</v>
      </c>
      <c r="N415" s="300">
        <f t="shared" si="139"/>
        <v>-44237203.175829358</v>
      </c>
      <c r="O415" s="300">
        <f t="shared" si="139"/>
        <v>99113.625089999987</v>
      </c>
      <c r="P415" s="300">
        <f t="shared" si="139"/>
        <v>-32986.048559999996</v>
      </c>
      <c r="Q415" s="300">
        <f t="shared" si="139"/>
        <v>0</v>
      </c>
      <c r="R415" s="300">
        <f t="shared" si="139"/>
        <v>0</v>
      </c>
      <c r="S415" s="300">
        <f t="shared" si="139"/>
        <v>-89026131.911506444</v>
      </c>
      <c r="U415" s="56">
        <f>SUM(U311:U414)</f>
        <v>-99239495.573654994</v>
      </c>
      <c r="W415" s="237"/>
      <c r="X415" s="56"/>
      <c r="Y415" s="161"/>
    </row>
    <row r="416" spans="1:25">
      <c r="A416" s="238"/>
      <c r="B416" s="216"/>
      <c r="C416" s="238"/>
      <c r="D416" s="239" t="s">
        <v>615</v>
      </c>
      <c r="E416" s="240"/>
      <c r="F416" s="241"/>
      <c r="G416" s="58">
        <f>G282</f>
        <v>-47516812.631637186</v>
      </c>
      <c r="H416" s="58">
        <f t="shared" ref="H416:S416" si="140">H282</f>
        <v>1625329.9914300689</v>
      </c>
      <c r="I416" s="58">
        <f t="shared" si="140"/>
        <v>0</v>
      </c>
      <c r="J416" s="58">
        <f t="shared" si="140"/>
        <v>1025726.327</v>
      </c>
      <c r="K416" s="58">
        <f t="shared" si="140"/>
        <v>0</v>
      </c>
      <c r="L416" s="58">
        <f t="shared" si="140"/>
        <v>0</v>
      </c>
      <c r="M416" s="279">
        <f t="shared" si="140"/>
        <v>-44865756.313207112</v>
      </c>
      <c r="N416" s="58">
        <f t="shared" si="140"/>
        <v>-44237203.175829351</v>
      </c>
      <c r="O416" s="58">
        <f t="shared" si="140"/>
        <v>99113.625090000001</v>
      </c>
      <c r="P416" s="58">
        <f t="shared" si="140"/>
        <v>-32986.048559999996</v>
      </c>
      <c r="Q416" s="58">
        <f t="shared" si="140"/>
        <v>0</v>
      </c>
      <c r="R416" s="58">
        <f t="shared" si="140"/>
        <v>0</v>
      </c>
      <c r="S416" s="58">
        <f t="shared" si="140"/>
        <v>-89036831.912506476</v>
      </c>
      <c r="U416" s="56"/>
      <c r="X416" s="56"/>
      <c r="Y416" s="161"/>
    </row>
    <row r="417" spans="1:25">
      <c r="A417" s="238"/>
      <c r="B417" s="216"/>
      <c r="C417" s="238"/>
      <c r="D417" s="239" t="s">
        <v>616</v>
      </c>
      <c r="E417" s="240"/>
      <c r="F417" s="301"/>
      <c r="G417" s="279">
        <f>G416-G415</f>
        <v>0</v>
      </c>
      <c r="H417" s="279">
        <f t="shared" ref="H417:S417" si="141">H416-H415</f>
        <v>0</v>
      </c>
      <c r="I417" s="279">
        <f t="shared" si="141"/>
        <v>-7.3113041731964756E-9</v>
      </c>
      <c r="J417" s="279">
        <f t="shared" si="141"/>
        <v>-10700.000999999698</v>
      </c>
      <c r="K417" s="279">
        <f t="shared" si="141"/>
        <v>0</v>
      </c>
      <c r="L417" s="279">
        <f t="shared" si="141"/>
        <v>0</v>
      </c>
      <c r="M417" s="279">
        <f t="shared" si="141"/>
        <v>-10700.001000009477</v>
      </c>
      <c r="N417" s="279">
        <f t="shared" si="141"/>
        <v>0</v>
      </c>
      <c r="O417" s="279">
        <f t="shared" si="141"/>
        <v>0</v>
      </c>
      <c r="P417" s="279">
        <f t="shared" si="141"/>
        <v>0</v>
      </c>
      <c r="Q417" s="279">
        <f t="shared" si="141"/>
        <v>0</v>
      </c>
      <c r="R417" s="279">
        <f t="shared" si="141"/>
        <v>0</v>
      </c>
      <c r="S417" s="279">
        <f t="shared" si="141"/>
        <v>-10700.001000031829</v>
      </c>
      <c r="T417" s="279"/>
      <c r="U417" s="56"/>
      <c r="X417" s="56"/>
      <c r="Y417" s="161"/>
    </row>
    <row r="418" spans="1:25">
      <c r="B418" s="238"/>
      <c r="C418" s="216"/>
      <c r="D418" s="238"/>
      <c r="E418" s="301"/>
      <c r="F418" s="240"/>
      <c r="G418" s="301"/>
      <c r="H418" s="160"/>
      <c r="I418" s="279"/>
      <c r="N418" s="214"/>
      <c r="O418" s="214"/>
      <c r="P418" s="214"/>
      <c r="R418" s="88"/>
      <c r="W418" s="58"/>
      <c r="X418" s="56"/>
      <c r="Y418" s="161"/>
    </row>
    <row r="419" spans="1:25">
      <c r="B419" s="238"/>
      <c r="C419" s="216"/>
      <c r="D419" s="238"/>
      <c r="E419" s="301"/>
      <c r="F419" s="240"/>
      <c r="G419" s="301"/>
      <c r="H419" s="160"/>
      <c r="N419" s="214"/>
      <c r="O419" s="214"/>
      <c r="P419" s="214"/>
      <c r="R419" s="88"/>
      <c r="W419" s="58"/>
      <c r="X419" s="56"/>
      <c r="Y419" s="161"/>
    </row>
    <row r="420" spans="1:25">
      <c r="B420" s="238"/>
      <c r="C420" s="216"/>
      <c r="D420" s="238"/>
      <c r="E420" s="301"/>
      <c r="F420" s="240"/>
      <c r="G420" s="301"/>
      <c r="H420" s="160"/>
      <c r="M420" s="94">
        <f>M417/0.35</f>
        <v>-30571.431428598509</v>
      </c>
      <c r="N420" s="214"/>
      <c r="O420" s="214"/>
      <c r="P420" s="214"/>
      <c r="R420" s="88"/>
      <c r="W420" s="58"/>
      <c r="X420" s="56"/>
      <c r="Y420" s="161"/>
    </row>
    <row r="421" spans="1:25">
      <c r="B421" s="238"/>
      <c r="C421" s="216"/>
      <c r="D421" s="238"/>
      <c r="E421" s="301"/>
      <c r="F421" s="240"/>
      <c r="G421" s="301"/>
      <c r="H421" s="160"/>
      <c r="M421" s="279">
        <f>M417/(G306+G307)</f>
        <v>-274359.00000024302</v>
      </c>
      <c r="N421" s="214"/>
      <c r="O421" s="214"/>
      <c r="P421" s="214"/>
      <c r="R421" s="88"/>
      <c r="W421" s="58"/>
      <c r="X421" s="56"/>
      <c r="Y421" s="161"/>
    </row>
    <row r="422" spans="1:25">
      <c r="B422" s="238"/>
      <c r="C422" s="216"/>
      <c r="D422" s="238"/>
      <c r="E422" s="301"/>
      <c r="F422" s="240"/>
      <c r="G422" s="301"/>
      <c r="H422" s="160"/>
      <c r="M422" s="279">
        <f>M417/G308</f>
        <v>-27506.429305936963</v>
      </c>
      <c r="N422" s="214"/>
      <c r="O422" s="214"/>
      <c r="P422" s="214"/>
      <c r="R422" s="88"/>
      <c r="W422" s="58"/>
      <c r="X422" s="56"/>
      <c r="Y422" s="161"/>
    </row>
    <row r="423" spans="1:25">
      <c r="B423" s="238"/>
      <c r="C423" s="216"/>
      <c r="D423" s="238"/>
      <c r="E423" s="301"/>
      <c r="F423" s="240"/>
      <c r="G423" s="301"/>
      <c r="H423" s="160"/>
      <c r="N423" s="214"/>
      <c r="O423" s="214"/>
      <c r="P423" s="214"/>
      <c r="R423" s="88"/>
      <c r="W423" s="58"/>
      <c r="X423" s="56"/>
      <c r="Y423" s="161"/>
    </row>
    <row r="424" spans="1:25">
      <c r="B424" s="238"/>
      <c r="C424" s="216"/>
      <c r="D424" s="238"/>
      <c r="E424" s="301"/>
      <c r="F424" s="240"/>
      <c r="G424" s="301"/>
      <c r="H424" s="160"/>
      <c r="N424" s="214"/>
      <c r="O424" s="214"/>
      <c r="P424" s="214"/>
      <c r="R424" s="88"/>
      <c r="W424" s="58"/>
      <c r="X424" s="56"/>
      <c r="Y424" s="161"/>
    </row>
    <row r="425" spans="1:25">
      <c r="B425" s="238"/>
      <c r="C425" s="216"/>
      <c r="D425" s="238"/>
      <c r="E425" s="301"/>
      <c r="F425" s="240"/>
      <c r="G425" s="301"/>
      <c r="H425" s="160"/>
      <c r="N425" s="214"/>
      <c r="O425" s="214"/>
      <c r="P425" s="214"/>
      <c r="R425" s="88"/>
      <c r="W425" s="58"/>
      <c r="X425" s="56"/>
      <c r="Y425" s="161"/>
    </row>
    <row r="426" spans="1:25">
      <c r="B426" s="238"/>
      <c r="C426" s="216"/>
      <c r="D426" s="238"/>
      <c r="E426" s="301"/>
      <c r="F426" s="240"/>
      <c r="G426" s="301"/>
      <c r="H426" s="160"/>
      <c r="N426" s="214"/>
      <c r="O426" s="214"/>
      <c r="P426" s="214"/>
      <c r="R426" s="88"/>
      <c r="W426" s="58"/>
      <c r="X426" s="56"/>
      <c r="Y426" s="161"/>
    </row>
    <row r="427" spans="1:25">
      <c r="B427" s="238"/>
      <c r="C427" s="216"/>
      <c r="D427" s="238"/>
      <c r="E427" s="301"/>
      <c r="F427" s="240"/>
      <c r="G427" s="301"/>
      <c r="H427" s="160"/>
      <c r="N427" s="214"/>
      <c r="O427" s="214"/>
      <c r="P427" s="214"/>
      <c r="R427" s="88"/>
      <c r="W427" s="58"/>
      <c r="X427" s="56"/>
      <c r="Y427" s="161"/>
    </row>
    <row r="428" spans="1:25">
      <c r="C428" s="10"/>
      <c r="F428" s="270"/>
      <c r="G428" s="54"/>
      <c r="H428" s="160"/>
      <c r="N428" s="214"/>
      <c r="O428" s="214"/>
      <c r="P428" s="214"/>
      <c r="R428" s="88"/>
      <c r="W428" s="58"/>
      <c r="X428" s="56"/>
      <c r="Y428" s="161"/>
    </row>
    <row r="429" spans="1:25">
      <c r="C429" s="10"/>
      <c r="F429" s="270"/>
      <c r="G429" s="54"/>
      <c r="H429" s="160"/>
      <c r="N429" s="214"/>
      <c r="O429" s="214"/>
      <c r="P429" s="214"/>
      <c r="R429" s="88"/>
      <c r="W429" s="58"/>
      <c r="X429" s="56"/>
      <c r="Y429" s="161"/>
    </row>
    <row r="430" spans="1:25">
      <c r="C430" s="10"/>
      <c r="F430" s="270"/>
      <c r="G430" s="54"/>
      <c r="H430" s="160"/>
      <c r="N430" s="214"/>
      <c r="O430" s="214"/>
      <c r="P430" s="214"/>
      <c r="R430" s="88"/>
      <c r="W430" s="58"/>
      <c r="X430" s="56"/>
      <c r="Y430" s="161"/>
    </row>
    <row r="431" spans="1:25">
      <c r="C431" s="10"/>
      <c r="F431" s="270"/>
      <c r="G431" s="54"/>
      <c r="H431" s="160"/>
      <c r="N431" s="214"/>
      <c r="O431" s="214"/>
      <c r="P431" s="214"/>
      <c r="R431" s="88"/>
      <c r="W431" s="58"/>
      <c r="X431" s="56"/>
      <c r="Y431" s="161"/>
    </row>
    <row r="432" spans="1:25">
      <c r="C432" s="10"/>
      <c r="F432" s="270"/>
      <c r="G432" s="54"/>
      <c r="H432" s="160"/>
      <c r="N432" s="214"/>
      <c r="O432" s="214"/>
      <c r="P432" s="214"/>
      <c r="Q432" s="271"/>
      <c r="R432" s="88"/>
      <c r="W432" s="58"/>
      <c r="X432" s="56"/>
      <c r="Y432" s="161"/>
    </row>
    <row r="433" spans="2:16" ht="15">
      <c r="B433" s="243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3"/>
    </row>
    <row r="434" spans="2:16" ht="15">
      <c r="B434" s="243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3"/>
    </row>
    <row r="435" spans="2:16" ht="15">
      <c r="B435" s="243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3"/>
    </row>
    <row r="436" spans="2:16" ht="15">
      <c r="B436" s="243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3"/>
    </row>
    <row r="437" spans="2:16" ht="15">
      <c r="B437" s="243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3"/>
    </row>
    <row r="438" spans="2:16" ht="15">
      <c r="B438" s="243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3"/>
    </row>
    <row r="439" spans="2:16" ht="15">
      <c r="B439" s="243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3"/>
    </row>
    <row r="440" spans="2:16" ht="15">
      <c r="B440" s="243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3"/>
    </row>
    <row r="441" spans="2:16" ht="15">
      <c r="B441" s="243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O441" s="243"/>
      <c r="P441" s="243"/>
    </row>
    <row r="442" spans="2:16" ht="15">
      <c r="B442" s="243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3"/>
    </row>
    <row r="443" spans="2:16" ht="15">
      <c r="B443" s="243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O443" s="243"/>
      <c r="P443" s="243"/>
    </row>
    <row r="444" spans="2:16" ht="15">
      <c r="B444" s="243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3"/>
    </row>
    <row r="445" spans="2:16" ht="15">
      <c r="B445" s="243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3"/>
    </row>
    <row r="446" spans="2:16" ht="15"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3"/>
    </row>
    <row r="447" spans="2:16" ht="15">
      <c r="B447" s="243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3"/>
    </row>
    <row r="448" spans="2:16" ht="15">
      <c r="B448" s="243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3"/>
      <c r="P448" s="243"/>
    </row>
    <row r="449" spans="2:16" ht="15">
      <c r="B449" s="243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3"/>
    </row>
    <row r="450" spans="2:16" ht="15">
      <c r="B450" s="243"/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3"/>
    </row>
    <row r="451" spans="2:16" ht="15">
      <c r="B451" s="243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3"/>
    </row>
    <row r="452" spans="2:16" ht="15">
      <c r="B452" s="243"/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3"/>
    </row>
    <row r="453" spans="2:16" ht="15">
      <c r="B453" s="243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3"/>
    </row>
    <row r="454" spans="2:16" ht="15">
      <c r="B454" s="243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3"/>
    </row>
    <row r="455" spans="2:16" ht="15">
      <c r="B455" s="243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3"/>
    </row>
    <row r="456" spans="2:16" ht="15">
      <c r="B456" s="243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3"/>
    </row>
    <row r="457" spans="2:16" ht="15">
      <c r="B457" s="243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3"/>
    </row>
    <row r="458" spans="2:16" ht="15">
      <c r="B458" s="243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3"/>
    </row>
    <row r="459" spans="2:16" ht="15">
      <c r="B459" s="243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3"/>
    </row>
    <row r="460" spans="2:16" ht="15">
      <c r="B460" s="243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3"/>
    </row>
    <row r="461" spans="2:16" ht="15">
      <c r="B461" s="243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3"/>
    </row>
    <row r="462" spans="2:16" ht="15">
      <c r="B462" s="243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3"/>
    </row>
    <row r="463" spans="2:16" ht="15">
      <c r="B463" s="243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243"/>
      <c r="P463" s="243"/>
    </row>
    <row r="464" spans="2:16" ht="15">
      <c r="B464" s="243"/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3"/>
    </row>
    <row r="465" spans="2:16" ht="15">
      <c r="B465" s="243"/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3"/>
    </row>
    <row r="466" spans="2:16" ht="15">
      <c r="B466" s="243"/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3"/>
    </row>
    <row r="467" spans="2:16" ht="15">
      <c r="B467" s="243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3"/>
    </row>
    <row r="468" spans="2:16" ht="15">
      <c r="B468" s="243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3"/>
    </row>
    <row r="469" spans="2:16" ht="15">
      <c r="B469" s="243"/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3"/>
    </row>
    <row r="470" spans="2:16" ht="15">
      <c r="B470" s="243"/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3"/>
    </row>
    <row r="471" spans="2:16" ht="15">
      <c r="B471" s="243"/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3"/>
    </row>
    <row r="472" spans="2:16" ht="15">
      <c r="B472" s="243"/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3"/>
    </row>
    <row r="473" spans="2:16" ht="15">
      <c r="B473" s="243"/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3"/>
    </row>
    <row r="474" spans="2:16" ht="15">
      <c r="B474" s="243"/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3"/>
    </row>
    <row r="475" spans="2:16" ht="15">
      <c r="B475" s="243"/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3"/>
    </row>
    <row r="476" spans="2:16" ht="15">
      <c r="B476" s="243"/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O476" s="243"/>
      <c r="P476" s="243"/>
    </row>
    <row r="477" spans="2:16" ht="15">
      <c r="B477" s="243"/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O477" s="243"/>
      <c r="P477" s="243"/>
    </row>
    <row r="478" spans="2:16" ht="15">
      <c r="B478" s="243"/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3"/>
    </row>
    <row r="479" spans="2:16" ht="15">
      <c r="B479" s="243"/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3"/>
    </row>
    <row r="480" spans="2:16" ht="15">
      <c r="B480" s="243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3"/>
    </row>
    <row r="481" spans="2:16" ht="15">
      <c r="B481" s="243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3"/>
    </row>
  </sheetData>
  <mergeCells count="23">
    <mergeCell ref="A266:E266"/>
    <mergeCell ref="U273:W273"/>
    <mergeCell ref="A274:E274"/>
    <mergeCell ref="U279:W279"/>
    <mergeCell ref="D306:E306"/>
    <mergeCell ref="U255:W255"/>
    <mergeCell ref="A10:E10"/>
    <mergeCell ref="A34:E34"/>
    <mergeCell ref="A177:E177"/>
    <mergeCell ref="A197:E197"/>
    <mergeCell ref="A206:E206"/>
    <mergeCell ref="U219:W219"/>
    <mergeCell ref="A220:E220"/>
    <mergeCell ref="A231:E231"/>
    <mergeCell ref="U241:W241"/>
    <mergeCell ref="A243:E243"/>
    <mergeCell ref="A248:E248"/>
    <mergeCell ref="U1:W1"/>
    <mergeCell ref="A3:B3"/>
    <mergeCell ref="A7:B7"/>
    <mergeCell ref="U7:W7"/>
    <mergeCell ref="D8:E8"/>
    <mergeCell ref="V8:W8"/>
  </mergeCells>
  <printOptions headings="1"/>
  <pageMargins left="0.7" right="0.7" top="0.75" bottom="0.75" header="0.3" footer="0.3"/>
  <pageSetup scale="33" fitToHeight="6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>
      <selection activeCell="S283" sqref="S283"/>
    </sheetView>
  </sheetViews>
  <sheetFormatPr defaultRowHeight="15"/>
  <cols>
    <col min="1" max="1" width="27.140625" customWidth="1"/>
    <col min="2" max="3" width="14.42578125" bestFit="1" customWidth="1"/>
    <col min="4" max="4" width="13.28515625" bestFit="1" customWidth="1"/>
    <col min="5" max="5" width="3.42578125" bestFit="1" customWidth="1"/>
    <col min="6" max="6" width="6" bestFit="1" customWidth="1"/>
    <col min="7" max="7" width="3.42578125" bestFit="1" customWidth="1"/>
    <col min="8" max="8" width="9.5703125" bestFit="1" customWidth="1"/>
  </cols>
  <sheetData>
    <row r="1" spans="1:8">
      <c r="A1" s="244" t="s">
        <v>742</v>
      </c>
      <c r="B1" s="302"/>
      <c r="C1" s="302"/>
      <c r="D1" s="302"/>
      <c r="E1" s="264"/>
      <c r="F1" s="264"/>
      <c r="G1" s="264"/>
      <c r="H1" s="264"/>
    </row>
    <row r="2" spans="1:8">
      <c r="A2" s="244" t="s">
        <v>743</v>
      </c>
      <c r="B2" s="302"/>
      <c r="C2" s="302"/>
      <c r="D2" s="302"/>
      <c r="E2" s="264"/>
      <c r="F2" s="264"/>
      <c r="G2" s="264"/>
      <c r="H2" s="264"/>
    </row>
    <row r="3" spans="1:8">
      <c r="A3" s="244" t="s">
        <v>799</v>
      </c>
      <c r="B3" s="302"/>
      <c r="C3" s="302"/>
      <c r="D3" s="302"/>
      <c r="E3" s="264"/>
      <c r="F3" s="264"/>
      <c r="G3" s="264"/>
      <c r="H3" s="264"/>
    </row>
    <row r="4" spans="1:8">
      <c r="A4" s="244" t="s">
        <v>800</v>
      </c>
      <c r="B4" s="302"/>
      <c r="C4" s="302"/>
      <c r="D4" s="302"/>
      <c r="E4" s="264"/>
      <c r="F4" s="264"/>
      <c r="G4" s="264"/>
      <c r="H4" s="264"/>
    </row>
    <row r="5" spans="1:8">
      <c r="A5" s="244" t="s">
        <v>801</v>
      </c>
      <c r="B5" s="302"/>
      <c r="C5" s="302"/>
      <c r="D5" s="302"/>
      <c r="E5" s="264"/>
      <c r="F5" s="264"/>
      <c r="G5" s="264"/>
      <c r="H5" s="264"/>
    </row>
    <row r="6" spans="1:8">
      <c r="A6" s="244" t="s">
        <v>747</v>
      </c>
      <c r="B6" s="302"/>
      <c r="C6" s="302"/>
      <c r="D6" s="302"/>
      <c r="E6" s="264"/>
      <c r="F6" s="264"/>
      <c r="G6" s="264"/>
      <c r="H6" s="264"/>
    </row>
    <row r="7" spans="1:8">
      <c r="A7" s="244" t="s">
        <v>748</v>
      </c>
      <c r="B7" s="302" t="s">
        <v>749</v>
      </c>
      <c r="C7" s="302" t="s">
        <v>750</v>
      </c>
      <c r="D7" s="302" t="s">
        <v>751</v>
      </c>
      <c r="E7" s="264"/>
      <c r="F7" s="264"/>
      <c r="G7" s="264"/>
      <c r="H7" s="264"/>
    </row>
    <row r="8" spans="1:8">
      <c r="A8" s="244" t="s">
        <v>752</v>
      </c>
      <c r="B8" s="302" t="s">
        <v>802</v>
      </c>
      <c r="C8" s="302" t="s">
        <v>753</v>
      </c>
      <c r="D8" s="302" t="s">
        <v>755</v>
      </c>
      <c r="E8" s="302" t="s">
        <v>756</v>
      </c>
      <c r="F8" s="302" t="s">
        <v>803</v>
      </c>
      <c r="G8" s="302" t="s">
        <v>758</v>
      </c>
      <c r="H8" s="302" t="s">
        <v>777</v>
      </c>
    </row>
    <row r="9" spans="1:8">
      <c r="A9" s="244" t="s">
        <v>760</v>
      </c>
      <c r="B9" s="302">
        <v>0</v>
      </c>
      <c r="C9" s="302">
        <v>0</v>
      </c>
      <c r="D9" s="302">
        <v>0</v>
      </c>
      <c r="E9" s="264" t="s">
        <v>102</v>
      </c>
      <c r="F9" s="264">
        <v>12</v>
      </c>
      <c r="G9" s="264" t="s">
        <v>102</v>
      </c>
      <c r="H9" s="264">
        <v>174200</v>
      </c>
    </row>
    <row r="10" spans="1:8">
      <c r="A10" s="244" t="s">
        <v>761</v>
      </c>
      <c r="B10" s="302">
        <v>0</v>
      </c>
      <c r="C10" s="302">
        <v>0</v>
      </c>
      <c r="D10" s="302">
        <v>0</v>
      </c>
      <c r="E10" s="264" t="s">
        <v>102</v>
      </c>
      <c r="F10" s="264">
        <v>12</v>
      </c>
      <c r="G10" s="264" t="s">
        <v>102</v>
      </c>
      <c r="H10" s="264">
        <v>174300</v>
      </c>
    </row>
    <row r="11" spans="1:8">
      <c r="A11" s="244" t="s">
        <v>762</v>
      </c>
      <c r="B11" s="302">
        <v>188555</v>
      </c>
      <c r="C11" s="302">
        <v>188555</v>
      </c>
      <c r="D11" s="302">
        <v>0</v>
      </c>
      <c r="E11" s="264" t="s">
        <v>102</v>
      </c>
      <c r="F11" s="264">
        <v>12</v>
      </c>
      <c r="G11" s="264" t="s">
        <v>102</v>
      </c>
      <c r="H11" s="264">
        <v>236310</v>
      </c>
    </row>
    <row r="12" spans="1:8">
      <c r="A12" s="244" t="s">
        <v>763</v>
      </c>
      <c r="B12" s="302">
        <v>34387</v>
      </c>
      <c r="C12" s="302">
        <v>34387</v>
      </c>
      <c r="D12" s="302">
        <v>0</v>
      </c>
      <c r="E12" s="264" t="s">
        <v>102</v>
      </c>
      <c r="F12" s="264">
        <v>12</v>
      </c>
      <c r="G12" s="264" t="s">
        <v>102</v>
      </c>
      <c r="H12" s="264">
        <v>236320</v>
      </c>
    </row>
    <row r="13" spans="1:8">
      <c r="A13" s="244" t="s">
        <v>764</v>
      </c>
      <c r="B13" s="302">
        <v>-39904848</v>
      </c>
      <c r="C13" s="302">
        <v>-82632433</v>
      </c>
      <c r="D13" s="302">
        <v>-42727585</v>
      </c>
      <c r="E13" s="264" t="s">
        <v>102</v>
      </c>
      <c r="F13" s="264">
        <v>12</v>
      </c>
      <c r="G13" s="264" t="s">
        <v>102</v>
      </c>
      <c r="H13" s="264">
        <v>253301</v>
      </c>
    </row>
    <row r="14" spans="1:8">
      <c r="A14" s="244" t="s">
        <v>765</v>
      </c>
      <c r="B14" s="302">
        <v>-5960246</v>
      </c>
      <c r="C14" s="302">
        <v>-6627470</v>
      </c>
      <c r="D14" s="302">
        <v>-667224</v>
      </c>
      <c r="E14" s="264" t="s">
        <v>102</v>
      </c>
      <c r="F14" s="264">
        <v>12</v>
      </c>
      <c r="G14" s="264" t="s">
        <v>102</v>
      </c>
      <c r="H14" s="264">
        <v>253701</v>
      </c>
    </row>
    <row r="16" spans="1:8" ht="15.75" thickBot="1">
      <c r="B16" s="247">
        <f>SUM(B9:B15)</f>
        <v>-45642152</v>
      </c>
      <c r="C16" s="273">
        <f>SUM(C9:C15)</f>
        <v>-89036961</v>
      </c>
    </row>
    <row r="17" ht="15.75" thickTop="1"/>
  </sheetData>
  <printOptions headings="1"/>
  <pageMargins left="0.7" right="0.7" top="0.75" bottom="0.75" header="0.3" footer="0.3"/>
  <pageSetup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DEC 2012</vt:lpstr>
      <vt:lpstr>TB @ 123112</vt:lpstr>
      <vt:lpstr>DEC 2011</vt:lpstr>
      <vt:lpstr>TB @ 123111</vt:lpstr>
      <vt:lpstr>DEC 2010</vt:lpstr>
      <vt:lpstr>TB @ 123110</vt:lpstr>
      <vt:lpstr>'DEC 2010'!Print_Area</vt:lpstr>
      <vt:lpstr>'DEC 2011'!Print_Area</vt:lpstr>
      <vt:lpstr>'DEC 2012'!Print_Area</vt:lpstr>
      <vt:lpstr>'DEC 2010'!Print_Titles</vt:lpstr>
      <vt:lpstr>'DEC 2011'!Print_Titles</vt:lpstr>
      <vt:lpstr>'DEC 2012'!Print_Titles</vt:lpstr>
    </vt:vector>
  </TitlesOfParts>
  <Company>American Water Works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bernhakm</dc:creator>
  <cp:lastModifiedBy>schneise</cp:lastModifiedBy>
  <cp:lastPrinted>2013-02-13T21:06:20Z</cp:lastPrinted>
  <dcterms:created xsi:type="dcterms:W3CDTF">2012-09-25T18:28:41Z</dcterms:created>
  <dcterms:modified xsi:type="dcterms:W3CDTF">2013-02-13T21:06:29Z</dcterms:modified>
</cp:coreProperties>
</file>